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SEG\MASTER ESS\"/>
    </mc:Choice>
  </mc:AlternateContent>
  <workbookProtection workbookAlgorithmName="SHA-512" workbookHashValue="yGYXQY85fGNPrOnDq2yI4Pwo1DXUfW1fCsb1b2FjLyOjbSeMAOSD1hxtaI2ZN08drO4waSs/pK8eZmoBWdLFCg==" workbookSaltValue="EUH3tVbtWwnsrJdlqqopGQ==" workbookSpinCount="100000" lockStructure="1"/>
  <bookViews>
    <workbookView xWindow="0" yWindow="0" windowWidth="23040" windowHeight="8616" firstSheet="2" activeTab="5"/>
  </bookViews>
  <sheets>
    <sheet name="Référentiel accompagnement" sheetId="35" state="hidden" r:id="rId1"/>
    <sheet name="Mode opératoire" sheetId="30" state="hidden" r:id="rId2"/>
    <sheet name="Enseignements" sheetId="39" r:id="rId3"/>
    <sheet name="Recettes et simulat" sheetId="40" r:id="rId4"/>
    <sheet name="Paramétrage" sheetId="36" r:id="rId5"/>
    <sheet name="Budget détaillé" sheetId="41" r:id="rId6"/>
    <sheet name="Budget détaillé heures comp" sheetId="42" state="hidden" r:id="rId7"/>
  </sheets>
  <externalReferences>
    <externalReference r:id="rId8"/>
    <externalReference r:id="rId9"/>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41" l="1"/>
  <c r="O7" i="39" l="1"/>
  <c r="P7" i="39" s="1"/>
  <c r="R7" i="39" l="1"/>
  <c r="S7" i="39"/>
  <c r="K41" i="42"/>
  <c r="I38" i="42"/>
  <c r="I39" i="42"/>
  <c r="I40" i="42"/>
  <c r="I41" i="42"/>
  <c r="I42" i="42"/>
  <c r="I43" i="42"/>
  <c r="I44" i="42"/>
  <c r="I37" i="42"/>
  <c r="I36" i="42"/>
  <c r="G30" i="42"/>
  <c r="G31" i="42"/>
  <c r="G29" i="42"/>
  <c r="H19" i="42"/>
  <c r="H17" i="42"/>
  <c r="O72" i="42"/>
  <c r="N72" i="42"/>
  <c r="M72" i="42"/>
  <c r="L72" i="42"/>
  <c r="P70" i="42"/>
  <c r="P69" i="42"/>
  <c r="P64" i="42"/>
  <c r="O64" i="42"/>
  <c r="N64" i="42"/>
  <c r="M64" i="42"/>
  <c r="L64" i="42"/>
  <c r="P58" i="42"/>
  <c r="P57" i="42"/>
  <c r="P56" i="42"/>
  <c r="O55" i="42"/>
  <c r="N55" i="42"/>
  <c r="M55" i="42"/>
  <c r="L55" i="42"/>
  <c r="P54" i="42"/>
  <c r="P53" i="42"/>
  <c r="P52" i="42"/>
  <c r="P51" i="42"/>
  <c r="O50" i="42"/>
  <c r="O59" i="42" s="1"/>
  <c r="N50" i="42"/>
  <c r="N59" i="42" s="1"/>
  <c r="M50" i="42"/>
  <c r="M59" i="42" s="1"/>
  <c r="L50" i="42"/>
  <c r="L59" i="42" s="1"/>
  <c r="O49" i="42"/>
  <c r="N49" i="42"/>
  <c r="M49" i="42"/>
  <c r="L49" i="42"/>
  <c r="P44" i="42"/>
  <c r="P43" i="42"/>
  <c r="P42" i="42"/>
  <c r="P41" i="42"/>
  <c r="P40" i="42"/>
  <c r="P39" i="42"/>
  <c r="P38" i="42"/>
  <c r="P37" i="42"/>
  <c r="P36" i="42"/>
  <c r="O35" i="42"/>
  <c r="N35" i="42"/>
  <c r="M35" i="42"/>
  <c r="L35" i="42"/>
  <c r="O32" i="42"/>
  <c r="N32" i="42"/>
  <c r="M32" i="42"/>
  <c r="L32" i="42"/>
  <c r="P31" i="42"/>
  <c r="P30" i="42"/>
  <c r="P29" i="42"/>
  <c r="H29" i="42"/>
  <c r="U28" i="42"/>
  <c r="T28" i="42"/>
  <c r="S28" i="42"/>
  <c r="R28" i="42"/>
  <c r="O27" i="42"/>
  <c r="N27" i="42"/>
  <c r="M27" i="42"/>
  <c r="L27" i="42"/>
  <c r="P26" i="42"/>
  <c r="P25" i="42"/>
  <c r="P24" i="42"/>
  <c r="P23" i="42"/>
  <c r="P22" i="42"/>
  <c r="O20" i="42"/>
  <c r="N20" i="42"/>
  <c r="M20" i="42"/>
  <c r="M14" i="42" s="1"/>
  <c r="L20" i="42"/>
  <c r="P19" i="42"/>
  <c r="P18" i="42"/>
  <c r="P17" i="42"/>
  <c r="P16" i="42"/>
  <c r="K8" i="42"/>
  <c r="J8" i="42"/>
  <c r="H7" i="42"/>
  <c r="E7" i="42"/>
  <c r="H6" i="42"/>
  <c r="D6" i="42"/>
  <c r="H5" i="42"/>
  <c r="D5" i="42"/>
  <c r="N14" i="42" l="1"/>
  <c r="M46" i="42"/>
  <c r="P27" i="42"/>
  <c r="O46" i="42"/>
  <c r="L46" i="42"/>
  <c r="L62" i="42"/>
  <c r="P50" i="42"/>
  <c r="P55" i="42"/>
  <c r="O14" i="42"/>
  <c r="G32" i="42"/>
  <c r="I29" i="42"/>
  <c r="P32" i="42"/>
  <c r="N46" i="42"/>
  <c r="N62" i="42" s="1"/>
  <c r="N75" i="42" s="1"/>
  <c r="P35" i="42"/>
  <c r="M62" i="42"/>
  <c r="M75" i="42" s="1"/>
  <c r="P72" i="42"/>
  <c r="P20" i="42"/>
  <c r="L14" i="42"/>
  <c r="O62" i="42"/>
  <c r="I35" i="42"/>
  <c r="I45" i="42" s="1"/>
  <c r="P14" i="42"/>
  <c r="L75" i="42"/>
  <c r="O75" i="42"/>
  <c r="P46" i="42" l="1"/>
  <c r="P59" i="42"/>
  <c r="R29" i="42"/>
  <c r="S29" i="42"/>
  <c r="U29" i="42"/>
  <c r="T29" i="42"/>
  <c r="P62" i="42" l="1"/>
  <c r="P75" i="42" s="1"/>
  <c r="L65" i="41"/>
  <c r="M65" i="41"/>
  <c r="N65" i="41"/>
  <c r="O65" i="41"/>
  <c r="P65" i="41"/>
  <c r="G22" i="41"/>
  <c r="H22" i="41" l="1"/>
  <c r="G22" i="42"/>
  <c r="K8" i="41"/>
  <c r="J8" i="41"/>
  <c r="H7" i="41"/>
  <c r="E7" i="41"/>
  <c r="H6" i="41"/>
  <c r="D6" i="41"/>
  <c r="H5" i="41"/>
  <c r="D5" i="41"/>
  <c r="G26" i="41"/>
  <c r="G25" i="41"/>
  <c r="G19" i="41"/>
  <c r="G19" i="42" s="1"/>
  <c r="I19" i="42" s="1"/>
  <c r="G18" i="41"/>
  <c r="G18" i="42" s="1"/>
  <c r="I18" i="42" s="1"/>
  <c r="G16" i="41"/>
  <c r="G16" i="42" s="1"/>
  <c r="G17" i="41"/>
  <c r="G17" i="42" s="1"/>
  <c r="I17" i="42" s="1"/>
  <c r="X131" i="39"/>
  <c r="X130" i="39"/>
  <c r="X129" i="39"/>
  <c r="X128" i="39"/>
  <c r="X127" i="39"/>
  <c r="X126" i="39"/>
  <c r="X125" i="39"/>
  <c r="X124" i="39"/>
  <c r="X123" i="39"/>
  <c r="X122" i="39"/>
  <c r="X121" i="39"/>
  <c r="X120" i="39"/>
  <c r="X119" i="39"/>
  <c r="X118" i="39"/>
  <c r="X117" i="39"/>
  <c r="X116" i="39"/>
  <c r="X115" i="39"/>
  <c r="X114" i="39"/>
  <c r="X113" i="39"/>
  <c r="X112" i="39"/>
  <c r="X110" i="39"/>
  <c r="X109" i="39"/>
  <c r="X108" i="39"/>
  <c r="X107" i="39"/>
  <c r="X106" i="39"/>
  <c r="X105" i="39"/>
  <c r="X104" i="39"/>
  <c r="X103" i="39"/>
  <c r="X102" i="39"/>
  <c r="X101" i="39"/>
  <c r="X100" i="39"/>
  <c r="X99" i="39"/>
  <c r="X98" i="39"/>
  <c r="X97" i="39"/>
  <c r="X96" i="39"/>
  <c r="X95" i="39"/>
  <c r="X94" i="39"/>
  <c r="X93" i="39"/>
  <c r="X92" i="39"/>
  <c r="X91" i="39"/>
  <c r="X89" i="39"/>
  <c r="X88" i="39"/>
  <c r="X87" i="39"/>
  <c r="X86" i="39"/>
  <c r="X85" i="39"/>
  <c r="X84" i="39"/>
  <c r="X83" i="39"/>
  <c r="X82" i="39"/>
  <c r="X81" i="39"/>
  <c r="X80" i="39"/>
  <c r="X79" i="39"/>
  <c r="X78" i="39"/>
  <c r="X77" i="39"/>
  <c r="X76" i="39"/>
  <c r="X75" i="39"/>
  <c r="X74" i="39"/>
  <c r="X73" i="39"/>
  <c r="X72" i="39"/>
  <c r="X71" i="39"/>
  <c r="X70" i="39"/>
  <c r="X68" i="39"/>
  <c r="X67" i="39"/>
  <c r="X66" i="39"/>
  <c r="X65" i="39"/>
  <c r="X64" i="39"/>
  <c r="X63" i="39"/>
  <c r="X62" i="39"/>
  <c r="X61" i="39"/>
  <c r="X60" i="39"/>
  <c r="X59" i="39"/>
  <c r="X58" i="39"/>
  <c r="X57" i="39"/>
  <c r="X56" i="39"/>
  <c r="X55" i="39"/>
  <c r="X54" i="39"/>
  <c r="X53" i="39"/>
  <c r="X52" i="39"/>
  <c r="X51" i="39"/>
  <c r="X50" i="39"/>
  <c r="X49" i="39"/>
  <c r="X47" i="39"/>
  <c r="X46" i="39"/>
  <c r="X45" i="39"/>
  <c r="X44" i="39"/>
  <c r="X43" i="39"/>
  <c r="X42" i="39"/>
  <c r="X41" i="39"/>
  <c r="X40" i="39"/>
  <c r="X39" i="39"/>
  <c r="X38" i="39"/>
  <c r="X37" i="39"/>
  <c r="X36" i="39"/>
  <c r="X35" i="39"/>
  <c r="X34" i="39"/>
  <c r="X33" i="39"/>
  <c r="X32" i="39"/>
  <c r="X31" i="39"/>
  <c r="X30" i="39"/>
  <c r="X29" i="39"/>
  <c r="X28" i="39"/>
  <c r="X8" i="39"/>
  <c r="X9" i="39"/>
  <c r="X10" i="39"/>
  <c r="X11" i="39"/>
  <c r="X12" i="39"/>
  <c r="X13" i="39"/>
  <c r="X14" i="39"/>
  <c r="X15" i="39"/>
  <c r="X16" i="39"/>
  <c r="X17" i="39"/>
  <c r="X18" i="39"/>
  <c r="X19" i="39"/>
  <c r="X20" i="39"/>
  <c r="X21" i="39"/>
  <c r="X22" i="39"/>
  <c r="X23" i="39"/>
  <c r="X24" i="39"/>
  <c r="X25" i="39"/>
  <c r="X26" i="39"/>
  <c r="X7" i="39"/>
  <c r="V133" i="39"/>
  <c r="W133" i="39"/>
  <c r="U134" i="39"/>
  <c r="V134" i="39"/>
  <c r="W134" i="39"/>
  <c r="X134" i="39"/>
  <c r="T134" i="39"/>
  <c r="X135" i="39"/>
  <c r="G27" i="41" l="1"/>
  <c r="X133" i="39"/>
  <c r="H25" i="41"/>
  <c r="G24" i="42"/>
  <c r="H24" i="42" s="1"/>
  <c r="I24" i="42" s="1"/>
  <c r="H27" i="41"/>
  <c r="G26" i="42"/>
  <c r="H26" i="42" s="1"/>
  <c r="I26" i="42" s="1"/>
  <c r="G23" i="42"/>
  <c r="H23" i="42" s="1"/>
  <c r="I23" i="42" s="1"/>
  <c r="H26" i="41"/>
  <c r="G25" i="42"/>
  <c r="H25" i="42" s="1"/>
  <c r="I25" i="42" s="1"/>
  <c r="T17" i="42"/>
  <c r="U17" i="42"/>
  <c r="R17" i="42"/>
  <c r="S17" i="42"/>
  <c r="G20" i="42"/>
  <c r="I16" i="42"/>
  <c r="S18" i="42"/>
  <c r="U18" i="42"/>
  <c r="T18" i="42"/>
  <c r="R18" i="42"/>
  <c r="H22" i="42"/>
  <c r="I22" i="42" s="1"/>
  <c r="Q19" i="42"/>
  <c r="V19" i="42" s="1"/>
  <c r="S19" i="42"/>
  <c r="T19" i="42"/>
  <c r="U19" i="42"/>
  <c r="R19" i="42"/>
  <c r="O131" i="39"/>
  <c r="O130" i="39"/>
  <c r="O129" i="39"/>
  <c r="O128" i="39"/>
  <c r="O127" i="39"/>
  <c r="O126" i="39"/>
  <c r="O125" i="39"/>
  <c r="O124" i="39"/>
  <c r="O123" i="39"/>
  <c r="O122" i="39"/>
  <c r="O121" i="39"/>
  <c r="O120" i="39"/>
  <c r="O119" i="39"/>
  <c r="O118" i="39"/>
  <c r="O117" i="39"/>
  <c r="O116" i="39"/>
  <c r="O115" i="39"/>
  <c r="O114" i="39"/>
  <c r="O113" i="39"/>
  <c r="O112" i="39"/>
  <c r="O110" i="39"/>
  <c r="O109" i="39"/>
  <c r="O108" i="39"/>
  <c r="O107" i="39"/>
  <c r="O106" i="39"/>
  <c r="O105" i="39"/>
  <c r="O104" i="39"/>
  <c r="O103" i="39"/>
  <c r="O102" i="39"/>
  <c r="O101" i="39"/>
  <c r="O100" i="39"/>
  <c r="O99" i="39"/>
  <c r="O98" i="39"/>
  <c r="O97" i="39"/>
  <c r="O96" i="39"/>
  <c r="O95" i="39"/>
  <c r="O94" i="39"/>
  <c r="O93" i="39"/>
  <c r="O92" i="39"/>
  <c r="O91" i="39"/>
  <c r="O89" i="39"/>
  <c r="O88" i="39"/>
  <c r="O87" i="39"/>
  <c r="O86" i="39"/>
  <c r="O85" i="39"/>
  <c r="O84" i="39"/>
  <c r="O83" i="39"/>
  <c r="O82" i="39"/>
  <c r="O81" i="39"/>
  <c r="O80" i="39"/>
  <c r="O79" i="39"/>
  <c r="O78" i="39"/>
  <c r="O77" i="39"/>
  <c r="O76" i="39"/>
  <c r="O75" i="39"/>
  <c r="O74" i="39"/>
  <c r="O73" i="39"/>
  <c r="O72" i="39"/>
  <c r="O71" i="39"/>
  <c r="O70" i="39"/>
  <c r="O68" i="39"/>
  <c r="O67" i="39"/>
  <c r="O66" i="39"/>
  <c r="O65" i="39"/>
  <c r="O64" i="39"/>
  <c r="O63" i="39"/>
  <c r="O62" i="39"/>
  <c r="O61" i="39"/>
  <c r="O60" i="39"/>
  <c r="O59" i="39"/>
  <c r="O58" i="39"/>
  <c r="O57" i="39"/>
  <c r="O56" i="39"/>
  <c r="O55" i="39"/>
  <c r="O54" i="39"/>
  <c r="O53" i="39"/>
  <c r="O52" i="39"/>
  <c r="O51" i="39"/>
  <c r="O50" i="39"/>
  <c r="O49" i="39"/>
  <c r="O47" i="39"/>
  <c r="O46" i="39"/>
  <c r="O45" i="39"/>
  <c r="O44" i="39"/>
  <c r="O43" i="39"/>
  <c r="O42" i="39"/>
  <c r="O41" i="39"/>
  <c r="O40" i="39"/>
  <c r="O39" i="39"/>
  <c r="O38" i="39"/>
  <c r="O37" i="39"/>
  <c r="O36" i="39"/>
  <c r="O35" i="39"/>
  <c r="O34" i="39"/>
  <c r="O33" i="39"/>
  <c r="O32" i="39"/>
  <c r="O31" i="39"/>
  <c r="O30" i="39"/>
  <c r="O29" i="39"/>
  <c r="O28" i="39"/>
  <c r="O8" i="39"/>
  <c r="O9" i="39"/>
  <c r="O10" i="39"/>
  <c r="O11" i="39"/>
  <c r="O12" i="39"/>
  <c r="O13" i="39"/>
  <c r="O14" i="39"/>
  <c r="O15" i="39"/>
  <c r="O16" i="39"/>
  <c r="O17" i="39"/>
  <c r="O18" i="39"/>
  <c r="O19" i="39"/>
  <c r="O20" i="39"/>
  <c r="O21" i="39"/>
  <c r="O22" i="39"/>
  <c r="O23" i="39"/>
  <c r="O24" i="39"/>
  <c r="O25" i="39"/>
  <c r="O26" i="39"/>
  <c r="I20" i="42" l="1"/>
  <c r="H20" i="42" s="1"/>
  <c r="U16" i="42"/>
  <c r="R16" i="42"/>
  <c r="T16" i="42"/>
  <c r="S16" i="42"/>
  <c r="G27" i="42"/>
  <c r="G14" i="42" s="1"/>
  <c r="R23" i="42"/>
  <c r="U23" i="42"/>
  <c r="T23" i="42"/>
  <c r="S23" i="42"/>
  <c r="Q23" i="42"/>
  <c r="V23" i="42" s="1"/>
  <c r="I27" i="42"/>
  <c r="Q22" i="42"/>
  <c r="V22" i="42" s="1"/>
  <c r="U22" i="42"/>
  <c r="R22" i="42"/>
  <c r="S22" i="42"/>
  <c r="T22" i="42"/>
  <c r="U26" i="42"/>
  <c r="S26" i="42"/>
  <c r="T26" i="42"/>
  <c r="R26" i="42"/>
  <c r="K25" i="42"/>
  <c r="J25" i="42" s="1"/>
  <c r="Q25" i="42" s="1"/>
  <c r="V25" i="42" s="1"/>
  <c r="U25" i="42"/>
  <c r="T25" i="42"/>
  <c r="R25" i="42"/>
  <c r="S25" i="42"/>
  <c r="Q24" i="42"/>
  <c r="V24" i="42" s="1"/>
  <c r="J24" i="42"/>
  <c r="R24" i="42"/>
  <c r="U24" i="42"/>
  <c r="S24" i="42"/>
  <c r="T24" i="42"/>
  <c r="X6" i="39"/>
  <c r="W6" i="39"/>
  <c r="V6" i="39"/>
  <c r="U6" i="39"/>
  <c r="T6" i="39"/>
  <c r="O73" i="41"/>
  <c r="N73" i="41"/>
  <c r="M73" i="41"/>
  <c r="L73" i="41"/>
  <c r="P71" i="41"/>
  <c r="P70" i="41"/>
  <c r="P59" i="41"/>
  <c r="P58" i="41"/>
  <c r="P57" i="41"/>
  <c r="O56" i="41"/>
  <c r="N56" i="41"/>
  <c r="M56" i="41"/>
  <c r="L56" i="41"/>
  <c r="P55" i="41"/>
  <c r="P54" i="41"/>
  <c r="P53" i="41"/>
  <c r="P52" i="41"/>
  <c r="O51" i="41"/>
  <c r="O60" i="41" s="1"/>
  <c r="N51" i="41"/>
  <c r="M51" i="41"/>
  <c r="M60" i="41" s="1"/>
  <c r="L51" i="41"/>
  <c r="L60" i="41" s="1"/>
  <c r="O50" i="41"/>
  <c r="N50" i="41"/>
  <c r="M50" i="41"/>
  <c r="L50" i="41"/>
  <c r="P45" i="41"/>
  <c r="P44" i="41"/>
  <c r="P43" i="41"/>
  <c r="K43" i="41"/>
  <c r="P42" i="41"/>
  <c r="J42" i="41"/>
  <c r="J41" i="42" s="1"/>
  <c r="P41" i="41"/>
  <c r="P40" i="41"/>
  <c r="P39" i="41"/>
  <c r="P38" i="41"/>
  <c r="P37" i="41"/>
  <c r="O36" i="41"/>
  <c r="N36" i="41"/>
  <c r="M36" i="41"/>
  <c r="L36" i="41"/>
  <c r="I36" i="41"/>
  <c r="O33" i="41"/>
  <c r="N33" i="41"/>
  <c r="M33" i="41"/>
  <c r="L33" i="41"/>
  <c r="G33" i="41"/>
  <c r="P32" i="41"/>
  <c r="P31" i="41"/>
  <c r="P30" i="41"/>
  <c r="H30" i="41"/>
  <c r="I30" i="41" s="1"/>
  <c r="U29" i="41"/>
  <c r="T29" i="41"/>
  <c r="S29" i="41"/>
  <c r="R29" i="41"/>
  <c r="O28" i="41"/>
  <c r="N28" i="41"/>
  <c r="M28" i="41"/>
  <c r="L28" i="41"/>
  <c r="P27" i="41"/>
  <c r="I27" i="41"/>
  <c r="P26" i="41"/>
  <c r="P25" i="41"/>
  <c r="I25" i="41"/>
  <c r="P23" i="41"/>
  <c r="I23" i="41"/>
  <c r="P22" i="41"/>
  <c r="I22" i="41"/>
  <c r="O20" i="41"/>
  <c r="N20" i="41"/>
  <c r="M20" i="41"/>
  <c r="L20" i="41"/>
  <c r="L14" i="41" s="1"/>
  <c r="P19" i="41"/>
  <c r="I19" i="41"/>
  <c r="P18" i="41"/>
  <c r="P17" i="41"/>
  <c r="P16" i="41"/>
  <c r="F39" i="40"/>
  <c r="K28" i="40"/>
  <c r="H28" i="40"/>
  <c r="F28" i="40"/>
  <c r="K27" i="40"/>
  <c r="H27" i="40"/>
  <c r="G27" i="40"/>
  <c r="J27" i="40" s="1"/>
  <c r="K26" i="40"/>
  <c r="H26" i="40"/>
  <c r="G26" i="40"/>
  <c r="J26" i="40" s="1"/>
  <c r="K25" i="40"/>
  <c r="H25" i="40"/>
  <c r="G25" i="40"/>
  <c r="J25" i="40" s="1"/>
  <c r="K24" i="40"/>
  <c r="H24" i="40"/>
  <c r="G24" i="40"/>
  <c r="J24" i="40" s="1"/>
  <c r="K23" i="40"/>
  <c r="H23" i="40"/>
  <c r="G23" i="40"/>
  <c r="J23" i="40" s="1"/>
  <c r="K22" i="40"/>
  <c r="H22" i="40"/>
  <c r="G22" i="40"/>
  <c r="J22" i="40" s="1"/>
  <c r="K21" i="40"/>
  <c r="H21" i="40"/>
  <c r="G21" i="40"/>
  <c r="J21" i="40" s="1"/>
  <c r="K20" i="40"/>
  <c r="H20" i="40"/>
  <c r="G20" i="40"/>
  <c r="J20" i="40" s="1"/>
  <c r="K19" i="40"/>
  <c r="H19" i="40"/>
  <c r="G19" i="40"/>
  <c r="J19" i="40" s="1"/>
  <c r="K18" i="40"/>
  <c r="H18" i="40"/>
  <c r="G18" i="40"/>
  <c r="S131" i="39"/>
  <c r="P131" i="39"/>
  <c r="R131" i="39" s="1"/>
  <c r="S130" i="39"/>
  <c r="P130" i="39"/>
  <c r="R130" i="39" s="1"/>
  <c r="S129" i="39"/>
  <c r="P129" i="39"/>
  <c r="R129" i="39" s="1"/>
  <c r="S128" i="39"/>
  <c r="P128" i="39"/>
  <c r="R128" i="39" s="1"/>
  <c r="S127" i="39"/>
  <c r="P127" i="39"/>
  <c r="R127" i="39" s="1"/>
  <c r="S126" i="39"/>
  <c r="P126" i="39"/>
  <c r="R126" i="39" s="1"/>
  <c r="S125" i="39"/>
  <c r="P125" i="39"/>
  <c r="R125" i="39" s="1"/>
  <c r="S124" i="39"/>
  <c r="P124" i="39"/>
  <c r="R124" i="39" s="1"/>
  <c r="S123" i="39"/>
  <c r="P123" i="39"/>
  <c r="R123" i="39" s="1"/>
  <c r="S122" i="39"/>
  <c r="P122" i="39"/>
  <c r="R122" i="39" s="1"/>
  <c r="S121" i="39"/>
  <c r="P121" i="39"/>
  <c r="R121" i="39" s="1"/>
  <c r="S120" i="39"/>
  <c r="P120" i="39"/>
  <c r="R120" i="39" s="1"/>
  <c r="S119" i="39"/>
  <c r="P119" i="39"/>
  <c r="R119" i="39" s="1"/>
  <c r="S118" i="39"/>
  <c r="P118" i="39"/>
  <c r="R118" i="39" s="1"/>
  <c r="S117" i="39"/>
  <c r="P117" i="39"/>
  <c r="R117" i="39" s="1"/>
  <c r="S116" i="39"/>
  <c r="P116" i="39"/>
  <c r="R116" i="39" s="1"/>
  <c r="S115" i="39"/>
  <c r="P115" i="39"/>
  <c r="R115" i="39" s="1"/>
  <c r="S114" i="39"/>
  <c r="P114" i="39"/>
  <c r="R114" i="39" s="1"/>
  <c r="S113" i="39"/>
  <c r="P113" i="39"/>
  <c r="R113" i="39" s="1"/>
  <c r="S112" i="39"/>
  <c r="P112" i="39"/>
  <c r="R112" i="39" s="1"/>
  <c r="AB114" i="39"/>
  <c r="AC114" i="39"/>
  <c r="AB115" i="39"/>
  <c r="AC115" i="39"/>
  <c r="AB116" i="39"/>
  <c r="AC116" i="39"/>
  <c r="AB117" i="39"/>
  <c r="AC117" i="39"/>
  <c r="AB118" i="39"/>
  <c r="AC118" i="39"/>
  <c r="AB119" i="39"/>
  <c r="AC119" i="39"/>
  <c r="AB120" i="39"/>
  <c r="AC120" i="39"/>
  <c r="AB121" i="39"/>
  <c r="AC121" i="39"/>
  <c r="AB122" i="39"/>
  <c r="AC122" i="39"/>
  <c r="AB123" i="39"/>
  <c r="AC123" i="39"/>
  <c r="AB124" i="39"/>
  <c r="AC124" i="39"/>
  <c r="AB125" i="39"/>
  <c r="AC125" i="39"/>
  <c r="AB126" i="39"/>
  <c r="AC126" i="39"/>
  <c r="AB127" i="39"/>
  <c r="AC127" i="39"/>
  <c r="AB128" i="39"/>
  <c r="AC128" i="39"/>
  <c r="G28" i="40" l="1"/>
  <c r="K70" i="42"/>
  <c r="I70" i="42" s="1"/>
  <c r="K71" i="41"/>
  <c r="I71" i="41" s="1"/>
  <c r="J43" i="41"/>
  <c r="J42" i="42" s="1"/>
  <c r="K42" i="42"/>
  <c r="G16" i="40"/>
  <c r="J70" i="41" s="1"/>
  <c r="J73" i="41" s="1"/>
  <c r="E8" i="42"/>
  <c r="E8" i="41"/>
  <c r="J18" i="40"/>
  <c r="J28" i="40" s="1"/>
  <c r="H27" i="42"/>
  <c r="H31" i="42"/>
  <c r="I31" i="42" s="1"/>
  <c r="H30" i="42"/>
  <c r="I30" i="42" s="1"/>
  <c r="P56" i="41"/>
  <c r="P73" i="41"/>
  <c r="O14" i="41"/>
  <c r="M14" i="41"/>
  <c r="P36" i="41"/>
  <c r="N60" i="41"/>
  <c r="P20" i="41"/>
  <c r="N14" i="41"/>
  <c r="P28" i="41"/>
  <c r="L47" i="41"/>
  <c r="L63" i="41" s="1"/>
  <c r="L76" i="41" s="1"/>
  <c r="P33" i="41"/>
  <c r="M47" i="41"/>
  <c r="M63" i="41" s="1"/>
  <c r="M76" i="41" s="1"/>
  <c r="P51" i="41"/>
  <c r="N47" i="41"/>
  <c r="O47" i="41"/>
  <c r="O63" i="41" s="1"/>
  <c r="O76" i="41" s="1"/>
  <c r="G20" i="41"/>
  <c r="I16" i="41"/>
  <c r="Q25" i="41"/>
  <c r="J25" i="41"/>
  <c r="Q22" i="41"/>
  <c r="I18" i="41"/>
  <c r="H52" i="41"/>
  <c r="G28" i="41"/>
  <c r="I17" i="41"/>
  <c r="I26" i="41"/>
  <c r="I46" i="41"/>
  <c r="Q19" i="41"/>
  <c r="K38" i="41"/>
  <c r="K40" i="41" l="1"/>
  <c r="K24" i="41"/>
  <c r="J24" i="41" s="1"/>
  <c r="K30" i="41"/>
  <c r="J30" i="41" s="1"/>
  <c r="Q30" i="41" s="1"/>
  <c r="K44" i="41"/>
  <c r="K43" i="42" s="1"/>
  <c r="K23" i="41"/>
  <c r="J23" i="41" s="1"/>
  <c r="Q23" i="41" s="1"/>
  <c r="K37" i="41"/>
  <c r="K36" i="42" s="1"/>
  <c r="K27" i="41"/>
  <c r="J27" i="41" s="1"/>
  <c r="Q27" i="41" s="1"/>
  <c r="K41" i="41"/>
  <c r="J41" i="41" s="1"/>
  <c r="J40" i="42" s="1"/>
  <c r="K45" i="41"/>
  <c r="J45" i="41" s="1"/>
  <c r="J44" i="42" s="1"/>
  <c r="K22" i="41"/>
  <c r="J22" i="41" s="1"/>
  <c r="K19" i="41"/>
  <c r="J19" i="41" s="1"/>
  <c r="K18" i="41"/>
  <c r="J18" i="41" s="1"/>
  <c r="Q18" i="41" s="1"/>
  <c r="K17" i="41"/>
  <c r="J17" i="41" s="1"/>
  <c r="Q17" i="41" s="1"/>
  <c r="J69" i="42"/>
  <c r="I52" i="41"/>
  <c r="I51" i="42" s="1"/>
  <c r="H51" i="42"/>
  <c r="K69" i="42"/>
  <c r="K72" i="42" s="1"/>
  <c r="K73" i="42" s="1"/>
  <c r="K70" i="41"/>
  <c r="K29" i="42"/>
  <c r="J29" i="42" s="1"/>
  <c r="Q29" i="42" s="1"/>
  <c r="V29" i="42" s="1"/>
  <c r="K17" i="42"/>
  <c r="J17" i="42" s="1"/>
  <c r="Q17" i="42" s="1"/>
  <c r="V17" i="42" s="1"/>
  <c r="K18" i="42"/>
  <c r="J18" i="42" s="1"/>
  <c r="Q18" i="42" s="1"/>
  <c r="V18" i="42" s="1"/>
  <c r="K19" i="42"/>
  <c r="J19" i="42" s="1"/>
  <c r="K16" i="42"/>
  <c r="K23" i="42"/>
  <c r="J23" i="42" s="1"/>
  <c r="K26" i="42"/>
  <c r="J26" i="42" s="1"/>
  <c r="Q26" i="42" s="1"/>
  <c r="V26" i="42" s="1"/>
  <c r="K22" i="42"/>
  <c r="K39" i="41"/>
  <c r="I34" i="41"/>
  <c r="J38" i="41"/>
  <c r="J37" i="42" s="1"/>
  <c r="K37" i="42"/>
  <c r="J72" i="42"/>
  <c r="J40" i="41"/>
  <c r="J39" i="42" s="1"/>
  <c r="K39" i="42"/>
  <c r="K40" i="42"/>
  <c r="S31" i="42"/>
  <c r="U31" i="42"/>
  <c r="Q31" i="42"/>
  <c r="V31" i="42" s="1"/>
  <c r="R31" i="42"/>
  <c r="T31" i="42"/>
  <c r="K31" i="42"/>
  <c r="J31" i="42" s="1"/>
  <c r="I32" i="42"/>
  <c r="T30" i="42"/>
  <c r="K30" i="42"/>
  <c r="J30" i="42" s="1"/>
  <c r="Q30" i="42" s="1"/>
  <c r="S30" i="42"/>
  <c r="R30" i="42"/>
  <c r="U30" i="42"/>
  <c r="N63" i="41"/>
  <c r="N76" i="41" s="1"/>
  <c r="P47" i="41"/>
  <c r="P60" i="41"/>
  <c r="K16" i="41"/>
  <c r="P14" i="41"/>
  <c r="K26" i="41"/>
  <c r="I20" i="41"/>
  <c r="H20" i="41" s="1"/>
  <c r="I28" i="41"/>
  <c r="H28" i="41" s="1"/>
  <c r="G14" i="41"/>
  <c r="P63" i="41" l="1"/>
  <c r="P76" i="41" s="1"/>
  <c r="K44" i="42"/>
  <c r="K28" i="41"/>
  <c r="K36" i="41"/>
  <c r="K46" i="41" s="1"/>
  <c r="J44" i="41"/>
  <c r="J43" i="42" s="1"/>
  <c r="J37" i="41"/>
  <c r="J36" i="42" s="1"/>
  <c r="K38" i="42"/>
  <c r="K35" i="42" s="1"/>
  <c r="K45" i="42" s="1"/>
  <c r="H14" i="42"/>
  <c r="H32" i="42"/>
  <c r="I69" i="42"/>
  <c r="I72" i="42" s="1"/>
  <c r="K20" i="41"/>
  <c r="J39" i="41"/>
  <c r="J38" i="42" s="1"/>
  <c r="K52" i="41"/>
  <c r="K51" i="42" s="1"/>
  <c r="K20" i="42"/>
  <c r="Q20" i="42" s="1"/>
  <c r="J16" i="42"/>
  <c r="I70" i="41"/>
  <c r="I73" i="41" s="1"/>
  <c r="K73" i="41"/>
  <c r="J22" i="42"/>
  <c r="J27" i="42" s="1"/>
  <c r="K27" i="42"/>
  <c r="Q27" i="42" s="1"/>
  <c r="J32" i="42"/>
  <c r="I46" i="42"/>
  <c r="I47" i="42" s="1"/>
  <c r="I34" i="42"/>
  <c r="I14" i="42"/>
  <c r="V30" i="42"/>
  <c r="K32" i="42"/>
  <c r="Q32" i="42" s="1"/>
  <c r="J16" i="41"/>
  <c r="Q16" i="41" s="1"/>
  <c r="H32" i="41"/>
  <c r="I32" i="41" s="1"/>
  <c r="H31" i="41"/>
  <c r="I31" i="41" s="1"/>
  <c r="J26" i="41"/>
  <c r="Q35" i="42" l="1"/>
  <c r="J52" i="41"/>
  <c r="J51" i="42" s="1"/>
  <c r="J35" i="42"/>
  <c r="J45" i="42" s="1"/>
  <c r="J36" i="41"/>
  <c r="J46" i="41" s="1"/>
  <c r="K74" i="41"/>
  <c r="Q28" i="41"/>
  <c r="Q36" i="41"/>
  <c r="Q20" i="41"/>
  <c r="K34" i="42"/>
  <c r="J20" i="42"/>
  <c r="J34" i="42" s="1"/>
  <c r="Q16" i="42"/>
  <c r="J28" i="41"/>
  <c r="Q26" i="41"/>
  <c r="K14" i="42"/>
  <c r="Q14" i="42" s="1"/>
  <c r="K46" i="42"/>
  <c r="J20" i="41"/>
  <c r="K32" i="41"/>
  <c r="J32" i="41" s="1"/>
  <c r="K31" i="41"/>
  <c r="Q32" i="41"/>
  <c r="I33" i="41"/>
  <c r="H33" i="41" s="1"/>
  <c r="K47" i="42" l="1"/>
  <c r="Q46" i="42"/>
  <c r="V16" i="42"/>
  <c r="K33" i="42" s="1"/>
  <c r="J33" i="42"/>
  <c r="J14" i="42"/>
  <c r="J46" i="42"/>
  <c r="J47" i="42" s="1"/>
  <c r="K33" i="41"/>
  <c r="Q33" i="41" s="1"/>
  <c r="I47" i="41"/>
  <c r="I48" i="41" s="1"/>
  <c r="I35" i="41"/>
  <c r="H14" i="41"/>
  <c r="I14" i="41"/>
  <c r="J31" i="41"/>
  <c r="J33" i="41" l="1"/>
  <c r="J35" i="41" s="1"/>
  <c r="Q31" i="41"/>
  <c r="J34" i="41" s="1"/>
  <c r="K34" i="41" s="1"/>
  <c r="K14" i="41"/>
  <c r="Q14" i="41" s="1"/>
  <c r="K35" i="41"/>
  <c r="I33" i="42"/>
  <c r="K47" i="41"/>
  <c r="J47" i="41" l="1"/>
  <c r="J48" i="41" s="1"/>
  <c r="J14" i="41"/>
  <c r="K48" i="41"/>
  <c r="Q47" i="41"/>
  <c r="J10" i="40" l="1"/>
  <c r="J9" i="40"/>
  <c r="M9" i="40"/>
  <c r="E9" i="40" l="1"/>
  <c r="E10" i="40" s="1"/>
  <c r="P93" i="39" l="1"/>
  <c r="R93" i="39" s="1"/>
  <c r="S93" i="39"/>
  <c r="AB93" i="39"/>
  <c r="AC93" i="39"/>
  <c r="P94" i="39"/>
  <c r="R94" i="39" s="1"/>
  <c r="S94" i="39"/>
  <c r="AB94" i="39"/>
  <c r="AC94" i="39"/>
  <c r="P95" i="39"/>
  <c r="R95" i="39" s="1"/>
  <c r="S95" i="39"/>
  <c r="AB95" i="39"/>
  <c r="AC95" i="39"/>
  <c r="P96" i="39"/>
  <c r="R96" i="39" s="1"/>
  <c r="S96" i="39"/>
  <c r="AB96" i="39"/>
  <c r="AC96" i="39"/>
  <c r="P97" i="39"/>
  <c r="R97" i="39" s="1"/>
  <c r="S97" i="39"/>
  <c r="AB97" i="39"/>
  <c r="AC97" i="39"/>
  <c r="P98" i="39"/>
  <c r="R98" i="39" s="1"/>
  <c r="S98" i="39"/>
  <c r="AB98" i="39"/>
  <c r="AC98" i="39"/>
  <c r="P99" i="39"/>
  <c r="R99" i="39" s="1"/>
  <c r="S99" i="39"/>
  <c r="AB99" i="39"/>
  <c r="AC99" i="39"/>
  <c r="P100" i="39"/>
  <c r="R100" i="39" s="1"/>
  <c r="S100" i="39"/>
  <c r="AB100" i="39"/>
  <c r="AC100" i="39"/>
  <c r="P101" i="39"/>
  <c r="R101" i="39" s="1"/>
  <c r="S101" i="39"/>
  <c r="AB101" i="39"/>
  <c r="AC101" i="39"/>
  <c r="P102" i="39"/>
  <c r="R102" i="39" s="1"/>
  <c r="S102" i="39"/>
  <c r="AB102" i="39"/>
  <c r="AC102" i="39"/>
  <c r="P103" i="39"/>
  <c r="R103" i="39" s="1"/>
  <c r="S103" i="39"/>
  <c r="AB103" i="39"/>
  <c r="AC103" i="39"/>
  <c r="P104" i="39"/>
  <c r="R104" i="39" s="1"/>
  <c r="S104" i="39"/>
  <c r="AB104" i="39"/>
  <c r="AC104" i="39"/>
  <c r="AC85" i="39"/>
  <c r="AB85" i="39"/>
  <c r="P85" i="39"/>
  <c r="S85" i="39" s="1"/>
  <c r="AC84" i="39"/>
  <c r="AB84" i="39"/>
  <c r="P84" i="39"/>
  <c r="S84" i="39" s="1"/>
  <c r="AC83" i="39"/>
  <c r="AB83" i="39"/>
  <c r="P83" i="39"/>
  <c r="S83" i="39" s="1"/>
  <c r="AC82" i="39"/>
  <c r="AB82" i="39"/>
  <c r="S82" i="39"/>
  <c r="P82" i="39"/>
  <c r="R82" i="39" s="1"/>
  <c r="AC81" i="39"/>
  <c r="AB81" i="39"/>
  <c r="P81" i="39"/>
  <c r="S81" i="39" s="1"/>
  <c r="AC80" i="39"/>
  <c r="AB80" i="39"/>
  <c r="P80" i="39"/>
  <c r="S80" i="39" s="1"/>
  <c r="AC79" i="39"/>
  <c r="AB79" i="39"/>
  <c r="P79" i="39"/>
  <c r="S79" i="39" s="1"/>
  <c r="AC78" i="39"/>
  <c r="AB78" i="39"/>
  <c r="S78" i="39"/>
  <c r="P78" i="39"/>
  <c r="R78" i="39" s="1"/>
  <c r="AC77" i="39"/>
  <c r="AB77" i="39"/>
  <c r="P77" i="39"/>
  <c r="S77" i="39" s="1"/>
  <c r="AC76" i="39"/>
  <c r="AB76" i="39"/>
  <c r="P76" i="39"/>
  <c r="S76" i="39" s="1"/>
  <c r="AC75" i="39"/>
  <c r="AB75" i="39"/>
  <c r="P75" i="39"/>
  <c r="S75" i="39" s="1"/>
  <c r="AC74" i="39"/>
  <c r="AB74" i="39"/>
  <c r="S74" i="39"/>
  <c r="P74" i="39"/>
  <c r="R74" i="39" s="1"/>
  <c r="AC73" i="39"/>
  <c r="AB73" i="39"/>
  <c r="P73" i="39"/>
  <c r="S73" i="39" s="1"/>
  <c r="P51" i="39"/>
  <c r="R51" i="39" s="1"/>
  <c r="S51" i="39"/>
  <c r="AB51" i="39"/>
  <c r="AC51" i="39"/>
  <c r="P52" i="39"/>
  <c r="R52" i="39" s="1"/>
  <c r="S52" i="39"/>
  <c r="AB52" i="39"/>
  <c r="AC52" i="39"/>
  <c r="P53" i="39"/>
  <c r="R53" i="39" s="1"/>
  <c r="S53" i="39"/>
  <c r="AB53" i="39"/>
  <c r="AC53" i="39"/>
  <c r="P54" i="39"/>
  <c r="R54" i="39" s="1"/>
  <c r="S54" i="39"/>
  <c r="AB54" i="39"/>
  <c r="AC54" i="39"/>
  <c r="P55" i="39"/>
  <c r="R55" i="39" s="1"/>
  <c r="S55" i="39"/>
  <c r="AB55" i="39"/>
  <c r="AC55" i="39"/>
  <c r="P56" i="39"/>
  <c r="R56" i="39" s="1"/>
  <c r="S56" i="39"/>
  <c r="AB56" i="39"/>
  <c r="AC56" i="39"/>
  <c r="P57" i="39"/>
  <c r="R57" i="39" s="1"/>
  <c r="S57" i="39"/>
  <c r="AB57" i="39"/>
  <c r="AC57" i="39"/>
  <c r="P58" i="39"/>
  <c r="R58" i="39" s="1"/>
  <c r="S58" i="39"/>
  <c r="AB58" i="39"/>
  <c r="AC58" i="39"/>
  <c r="P59" i="39"/>
  <c r="R59" i="39" s="1"/>
  <c r="S59" i="39"/>
  <c r="AB59" i="39"/>
  <c r="AC59" i="39"/>
  <c r="P60" i="39"/>
  <c r="R60" i="39" s="1"/>
  <c r="S60" i="39"/>
  <c r="AB60" i="39"/>
  <c r="AC60" i="39"/>
  <c r="P61" i="39"/>
  <c r="R61" i="39" s="1"/>
  <c r="S61" i="39"/>
  <c r="AB61" i="39"/>
  <c r="AC61" i="39"/>
  <c r="P62" i="39"/>
  <c r="R62" i="39" s="1"/>
  <c r="S62" i="39"/>
  <c r="AB62" i="39"/>
  <c r="AC62" i="39"/>
  <c r="AC34" i="39"/>
  <c r="AB34" i="39"/>
  <c r="S34" i="39"/>
  <c r="P34" i="39"/>
  <c r="R34" i="39" s="1"/>
  <c r="AC33" i="39"/>
  <c r="AB33" i="39"/>
  <c r="S33" i="39"/>
  <c r="P33" i="39"/>
  <c r="R33" i="39" s="1"/>
  <c r="AC37" i="39"/>
  <c r="AB37" i="39"/>
  <c r="S37" i="39"/>
  <c r="P37" i="39"/>
  <c r="R37" i="39" s="1"/>
  <c r="AC36" i="39"/>
  <c r="AB36" i="39"/>
  <c r="S36" i="39"/>
  <c r="P36" i="39"/>
  <c r="R36" i="39" s="1"/>
  <c r="AC35" i="39"/>
  <c r="AB35" i="39"/>
  <c r="S35" i="39"/>
  <c r="P35" i="39"/>
  <c r="R35" i="39" s="1"/>
  <c r="AC32" i="39"/>
  <c r="AB32" i="39"/>
  <c r="S32" i="39"/>
  <c r="P32" i="39"/>
  <c r="R32" i="39" s="1"/>
  <c r="AC31" i="39"/>
  <c r="AB31" i="39"/>
  <c r="S31" i="39"/>
  <c r="P31" i="39"/>
  <c r="R31" i="39" s="1"/>
  <c r="P13" i="39"/>
  <c r="R13" i="39" s="1"/>
  <c r="AB13" i="39"/>
  <c r="AC13" i="39"/>
  <c r="P14" i="39"/>
  <c r="R14" i="39" s="1"/>
  <c r="AB14" i="39"/>
  <c r="AC14" i="39"/>
  <c r="P15" i="39"/>
  <c r="R15" i="39" s="1"/>
  <c r="AB15" i="39"/>
  <c r="AC15" i="39"/>
  <c r="AB30" i="39"/>
  <c r="AC30" i="39"/>
  <c r="AB38" i="39"/>
  <c r="AC38" i="39"/>
  <c r="AB39" i="39"/>
  <c r="AC39" i="39"/>
  <c r="AB40" i="39"/>
  <c r="AC40" i="39"/>
  <c r="AB41" i="39"/>
  <c r="AC41" i="39"/>
  <c r="P30" i="39"/>
  <c r="R30" i="39" s="1"/>
  <c r="S30" i="39"/>
  <c r="P38" i="39"/>
  <c r="R38" i="39" s="1"/>
  <c r="S38" i="39"/>
  <c r="P39" i="39"/>
  <c r="R39" i="39" s="1"/>
  <c r="S39" i="39"/>
  <c r="P40" i="39"/>
  <c r="R40" i="39" s="1"/>
  <c r="S40" i="39"/>
  <c r="P41" i="39"/>
  <c r="R41" i="39" s="1"/>
  <c r="S41" i="39"/>
  <c r="P42" i="39"/>
  <c r="R42" i="39" s="1"/>
  <c r="S42" i="39"/>
  <c r="P43" i="39"/>
  <c r="R43" i="39" s="1"/>
  <c r="S43" i="39"/>
  <c r="AB11" i="39"/>
  <c r="AC11" i="39"/>
  <c r="AB12" i="39"/>
  <c r="AC12" i="39"/>
  <c r="AB16" i="39"/>
  <c r="AC16" i="39"/>
  <c r="AB17" i="39"/>
  <c r="AC17" i="39"/>
  <c r="AB18" i="39"/>
  <c r="AC18" i="39"/>
  <c r="AB19" i="39"/>
  <c r="AC19" i="39"/>
  <c r="AB20" i="39"/>
  <c r="AC20" i="39"/>
  <c r="AB21" i="39"/>
  <c r="AC21" i="39"/>
  <c r="AB22" i="39"/>
  <c r="AC22" i="39"/>
  <c r="P22" i="39"/>
  <c r="R22" i="39" s="1"/>
  <c r="P21" i="39"/>
  <c r="R21" i="39" s="1"/>
  <c r="P20" i="39"/>
  <c r="R20" i="39" s="1"/>
  <c r="P19" i="39"/>
  <c r="R19" i="39" s="1"/>
  <c r="P18" i="39"/>
  <c r="R18" i="39" s="1"/>
  <c r="P17" i="39"/>
  <c r="R17" i="39" s="1"/>
  <c r="P16" i="39"/>
  <c r="R16" i="39" s="1"/>
  <c r="P12" i="39"/>
  <c r="R12" i="39" s="1"/>
  <c r="P11" i="39"/>
  <c r="R11" i="39" s="1"/>
  <c r="S12" i="39" l="1"/>
  <c r="S15" i="39"/>
  <c r="S18" i="39"/>
  <c r="S17" i="39"/>
  <c r="S21" i="39"/>
  <c r="S22" i="39"/>
  <c r="S20" i="39"/>
  <c r="S19" i="39"/>
  <c r="S16" i="39"/>
  <c r="S14" i="39"/>
  <c r="S13" i="39"/>
  <c r="S11" i="39"/>
  <c r="R79" i="39"/>
  <c r="R76" i="39"/>
  <c r="R84" i="39"/>
  <c r="R75" i="39"/>
  <c r="R83" i="39"/>
  <c r="R80" i="39"/>
  <c r="R73" i="39"/>
  <c r="R85" i="39"/>
  <c r="R77" i="39"/>
  <c r="R81" i="39"/>
  <c r="P110" i="39" l="1"/>
  <c r="P109" i="39"/>
  <c r="P108" i="39"/>
  <c r="P107" i="39"/>
  <c r="P106" i="39"/>
  <c r="P105" i="39"/>
  <c r="P92" i="39"/>
  <c r="P91" i="39"/>
  <c r="P89" i="39"/>
  <c r="P88" i="39"/>
  <c r="P87" i="39"/>
  <c r="P86" i="39"/>
  <c r="P72" i="39"/>
  <c r="P71" i="39"/>
  <c r="P70" i="39"/>
  <c r="P68" i="39"/>
  <c r="P67" i="39"/>
  <c r="P66" i="39"/>
  <c r="P65" i="39"/>
  <c r="P64" i="39"/>
  <c r="P63" i="39"/>
  <c r="P50" i="39"/>
  <c r="P49" i="39"/>
  <c r="P47" i="39"/>
  <c r="P46" i="39"/>
  <c r="P45" i="39"/>
  <c r="P44" i="39"/>
  <c r="P29" i="39"/>
  <c r="P28" i="39"/>
  <c r="P26" i="39"/>
  <c r="P25" i="39"/>
  <c r="P24" i="39"/>
  <c r="P23" i="39"/>
  <c r="P10" i="39"/>
  <c r="P9" i="39"/>
  <c r="P8" i="39"/>
  <c r="H111" i="39" l="1"/>
  <c r="H90" i="39"/>
  <c r="AB113" i="39" l="1"/>
  <c r="AB129" i="39"/>
  <c r="AB130" i="39"/>
  <c r="AB131" i="39"/>
  <c r="AB26" i="39"/>
  <c r="AB25" i="39"/>
  <c r="AB24" i="39"/>
  <c r="AB23" i="39"/>
  <c r="AB10" i="39"/>
  <c r="T133" i="39" s="1"/>
  <c r="AB47" i="39"/>
  <c r="AB46" i="39"/>
  <c r="AB45" i="39"/>
  <c r="AB44" i="39"/>
  <c r="AB43" i="39"/>
  <c r="AB42" i="39"/>
  <c r="AB68" i="39"/>
  <c r="AB67" i="39"/>
  <c r="AB66" i="39"/>
  <c r="AB65" i="39"/>
  <c r="AB64" i="39"/>
  <c r="AB89" i="39"/>
  <c r="AB88" i="39"/>
  <c r="AB87" i="39"/>
  <c r="AB110" i="39"/>
  <c r="AB109" i="39"/>
  <c r="AB108" i="39"/>
  <c r="AB107" i="39"/>
  <c r="G132" i="39" l="1"/>
  <c r="AC72" i="39" l="1"/>
  <c r="AB72" i="39" s="1"/>
  <c r="AC86" i="39"/>
  <c r="AB86" i="39" s="1"/>
  <c r="AC87" i="39"/>
  <c r="R70" i="39" l="1"/>
  <c r="R71" i="39"/>
  <c r="S89" i="39"/>
  <c r="R89" i="39"/>
  <c r="S88" i="39"/>
  <c r="R88" i="39"/>
  <c r="S87" i="39"/>
  <c r="R87" i="39"/>
  <c r="S86" i="39"/>
  <c r="R86" i="39"/>
  <c r="R72" i="39"/>
  <c r="S68" i="39"/>
  <c r="R68" i="39"/>
  <c r="S67" i="39"/>
  <c r="R67" i="39"/>
  <c r="S66" i="39"/>
  <c r="R66" i="39"/>
  <c r="S65" i="39"/>
  <c r="R65" i="39"/>
  <c r="S64" i="39"/>
  <c r="R64" i="39"/>
  <c r="S132" i="39"/>
  <c r="Q132" i="39"/>
  <c r="P132" i="39"/>
  <c r="AC131" i="39"/>
  <c r="AC130" i="39"/>
  <c r="AC129" i="39"/>
  <c r="AC113" i="39"/>
  <c r="AC112" i="39"/>
  <c r="AB112" i="39" s="1"/>
  <c r="AC68" i="39"/>
  <c r="AC67" i="39"/>
  <c r="AC66" i="39"/>
  <c r="AC65" i="39"/>
  <c r="AC64" i="39"/>
  <c r="AC63" i="39"/>
  <c r="AB63" i="39" s="1"/>
  <c r="Q111" i="39"/>
  <c r="AC110" i="39"/>
  <c r="S110" i="39"/>
  <c r="R110" i="39"/>
  <c r="AC109" i="39"/>
  <c r="S109" i="39"/>
  <c r="R109" i="39"/>
  <c r="AC108" i="39"/>
  <c r="S108" i="39"/>
  <c r="R108" i="39"/>
  <c r="AC107" i="39"/>
  <c r="S107" i="39"/>
  <c r="R107" i="39"/>
  <c r="AC106" i="39"/>
  <c r="AB106" i="39" s="1"/>
  <c r="AC105" i="39"/>
  <c r="AB105" i="39" s="1"/>
  <c r="AC92" i="39"/>
  <c r="AB92" i="39" s="1"/>
  <c r="AC91" i="39"/>
  <c r="AB91" i="39" s="1"/>
  <c r="AC89" i="39"/>
  <c r="AC88" i="39"/>
  <c r="AC71" i="39"/>
  <c r="AB71" i="39" s="1"/>
  <c r="AC70" i="39"/>
  <c r="AB70" i="39" s="1"/>
  <c r="Q48" i="39"/>
  <c r="AC47" i="39"/>
  <c r="S47" i="39"/>
  <c r="R47" i="39"/>
  <c r="AC46" i="39"/>
  <c r="S46" i="39"/>
  <c r="R46" i="39"/>
  <c r="AC45" i="39"/>
  <c r="S45" i="39"/>
  <c r="R45" i="39"/>
  <c r="AC44" i="39"/>
  <c r="S44" i="39"/>
  <c r="R44" i="39"/>
  <c r="AC43" i="39"/>
  <c r="AC42" i="39"/>
  <c r="Q27" i="39"/>
  <c r="AC26" i="39"/>
  <c r="R26" i="39"/>
  <c r="S26" i="39" s="1"/>
  <c r="AC25" i="39"/>
  <c r="S25" i="39"/>
  <c r="R25" i="39"/>
  <c r="AC24" i="39"/>
  <c r="S24" i="39"/>
  <c r="R24" i="39"/>
  <c r="AC23" i="39"/>
  <c r="S23" i="39"/>
  <c r="R23" i="39"/>
  <c r="AC10" i="39"/>
  <c r="U133" i="39" s="1"/>
  <c r="R10" i="39"/>
  <c r="S10" i="39" s="1"/>
  <c r="AC9" i="39"/>
  <c r="AB9" i="39" s="1"/>
  <c r="R9" i="39"/>
  <c r="Q6" i="39" l="1"/>
  <c r="Q133" i="39"/>
  <c r="R91" i="39"/>
  <c r="R63" i="39"/>
  <c r="S72" i="39"/>
  <c r="S71" i="39"/>
  <c r="S9" i="39"/>
  <c r="S70" i="39"/>
  <c r="R132" i="39"/>
  <c r="P90" i="39"/>
  <c r="R90" i="39" s="1"/>
  <c r="AB132" i="39"/>
  <c r="AC132" i="39"/>
  <c r="AC111" i="39"/>
  <c r="AB90" i="39"/>
  <c r="G90" i="39" s="1"/>
  <c r="AC90" i="39"/>
  <c r="AC49" i="39"/>
  <c r="AB49" i="39" s="1"/>
  <c r="AB111" i="39"/>
  <c r="G111" i="39" s="1"/>
  <c r="S29" i="39" l="1"/>
  <c r="S91" i="39"/>
  <c r="P111" i="39"/>
  <c r="R111" i="39" s="1"/>
  <c r="S90" i="39"/>
  <c r="R105" i="39"/>
  <c r="S105" i="39"/>
  <c r="R106" i="39"/>
  <c r="S106" i="39"/>
  <c r="R92" i="39"/>
  <c r="S92" i="39"/>
  <c r="S63" i="39"/>
  <c r="AC29" i="39"/>
  <c r="AB29" i="39" s="1"/>
  <c r="AC28" i="39"/>
  <c r="AB28" i="39" s="1"/>
  <c r="AC50" i="39"/>
  <c r="AC7" i="39"/>
  <c r="AC8" i="39"/>
  <c r="AB8" i="39" s="1"/>
  <c r="AB7" i="39" l="1"/>
  <c r="AB27" i="39" s="1"/>
  <c r="G27" i="39" s="1"/>
  <c r="AC69" i="39"/>
  <c r="AB50" i="39"/>
  <c r="AB69" i="39" s="1"/>
  <c r="G69" i="39" s="1"/>
  <c r="R50" i="39"/>
  <c r="P27" i="39"/>
  <c r="S111" i="39"/>
  <c r="P48" i="39"/>
  <c r="R48" i="39" s="1"/>
  <c r="R29" i="39"/>
  <c r="S28" i="39"/>
  <c r="R28" i="39"/>
  <c r="AB48" i="39"/>
  <c r="G48" i="39" s="1"/>
  <c r="AC48" i="39"/>
  <c r="AC27" i="39"/>
  <c r="G6" i="39" l="1"/>
  <c r="G133" i="39"/>
  <c r="R27" i="39"/>
  <c r="S48" i="39"/>
  <c r="S50" i="39"/>
  <c r="P69" i="39"/>
  <c r="R69" i="39" s="1"/>
  <c r="R8" i="39"/>
  <c r="S8" i="39" s="1"/>
  <c r="S49" i="39"/>
  <c r="R49" i="39"/>
  <c r="H57" i="41" l="1"/>
  <c r="H59" i="41"/>
  <c r="H55" i="41"/>
  <c r="H58" i="41"/>
  <c r="H54" i="41"/>
  <c r="H53" i="41"/>
  <c r="P133" i="39"/>
  <c r="R133" i="39"/>
  <c r="P6" i="39"/>
  <c r="R6" i="39"/>
  <c r="S69" i="39"/>
  <c r="S27" i="39"/>
  <c r="I53" i="41" l="1"/>
  <c r="I52" i="42" s="1"/>
  <c r="H52" i="42"/>
  <c r="I54" i="41"/>
  <c r="I53" i="42" s="1"/>
  <c r="H53" i="42"/>
  <c r="I58" i="41"/>
  <c r="I57" i="42" s="1"/>
  <c r="H57" i="42"/>
  <c r="I55" i="41"/>
  <c r="H54" i="42"/>
  <c r="I59" i="41"/>
  <c r="I58" i="42" s="1"/>
  <c r="H58" i="42"/>
  <c r="I57" i="41"/>
  <c r="I56" i="42" s="1"/>
  <c r="H56" i="42"/>
  <c r="S6" i="39"/>
  <c r="S133" i="39"/>
  <c r="K54" i="41" l="1"/>
  <c r="J54" i="41" s="1"/>
  <c r="J53" i="42" s="1"/>
  <c r="K58" i="41"/>
  <c r="J58" i="41" s="1"/>
  <c r="J57" i="42" s="1"/>
  <c r="K57" i="41"/>
  <c r="J57" i="41" s="1"/>
  <c r="J56" i="42" s="1"/>
  <c r="K59" i="41"/>
  <c r="J59" i="41" s="1"/>
  <c r="J58" i="42" s="1"/>
  <c r="K55" i="41"/>
  <c r="I54" i="42"/>
  <c r="I50" i="42" s="1"/>
  <c r="I51" i="41"/>
  <c r="K53" i="41"/>
  <c r="I56" i="41"/>
  <c r="I55" i="42"/>
  <c r="K53" i="42" l="1"/>
  <c r="K56" i="42"/>
  <c r="K57" i="42"/>
  <c r="K58" i="42"/>
  <c r="K56" i="41"/>
  <c r="I59" i="42"/>
  <c r="I60" i="42" s="1"/>
  <c r="I60" i="41"/>
  <c r="I63" i="41" s="1"/>
  <c r="I65" i="41" s="1"/>
  <c r="J53" i="41"/>
  <c r="K52" i="42"/>
  <c r="K51" i="41"/>
  <c r="J55" i="42"/>
  <c r="J56" i="41"/>
  <c r="J55" i="41"/>
  <c r="J54" i="42" s="1"/>
  <c r="K54" i="42"/>
  <c r="K55" i="42" l="1"/>
  <c r="K60" i="41"/>
  <c r="I61" i="41"/>
  <c r="I62" i="42"/>
  <c r="I64" i="42" s="1"/>
  <c r="K50" i="42"/>
  <c r="J52" i="42"/>
  <c r="J50" i="42" s="1"/>
  <c r="J59" i="42" s="1"/>
  <c r="J51" i="41"/>
  <c r="J60" i="41" s="1"/>
  <c r="J61" i="41" s="1"/>
  <c r="I76" i="41"/>
  <c r="I64" i="41"/>
  <c r="K59" i="42" l="1"/>
  <c r="S59" i="42" s="1"/>
  <c r="S60" i="41"/>
  <c r="Q60" i="41"/>
  <c r="I63" i="42"/>
  <c r="I75" i="42"/>
  <c r="I77" i="41" s="1"/>
  <c r="K63" i="41"/>
  <c r="K61" i="41"/>
  <c r="J63" i="41"/>
  <c r="J76" i="41" s="1"/>
  <c r="J60" i="42"/>
  <c r="J62" i="42"/>
  <c r="J64" i="42" s="1"/>
  <c r="K60" i="42" l="1"/>
  <c r="K62" i="42"/>
  <c r="Q59" i="42"/>
  <c r="K63" i="42"/>
  <c r="Q62" i="42"/>
  <c r="K64" i="41"/>
  <c r="Q63" i="41"/>
  <c r="K65" i="41"/>
  <c r="K76" i="41"/>
  <c r="Q76" i="41" s="1"/>
  <c r="J65" i="41"/>
  <c r="J64" i="41"/>
  <c r="K75" i="42"/>
  <c r="K64" i="42"/>
  <c r="J63" i="42"/>
  <c r="J75" i="42"/>
  <c r="J77" i="41" s="1"/>
  <c r="K77" i="41" l="1"/>
  <c r="Q77" i="41" s="1"/>
  <c r="Q75" i="42"/>
</calcChain>
</file>

<file path=xl/comments1.xml><?xml version="1.0" encoding="utf-8"?>
<comments xmlns="http://schemas.openxmlformats.org/spreadsheetml/2006/main">
  <authors>
    <author>Utilisateur Windows</author>
  </authors>
  <commentList>
    <comment ref="T5"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U5"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List>
</comments>
</file>

<file path=xl/comments2.xml><?xml version="1.0" encoding="utf-8"?>
<comments xmlns="http://schemas.openxmlformats.org/spreadsheetml/2006/main">
  <authors>
    <author>Utilisateur Windows</author>
  </authors>
  <commentList>
    <comment ref="C7" authorId="0" shapeId="0">
      <text>
        <r>
          <rPr>
            <b/>
            <sz val="9"/>
            <color indexed="81"/>
            <rFont val="Tahoma"/>
            <family val="2"/>
          </rPr>
          <t>Utilisateur Windows:</t>
        </r>
        <r>
          <rPr>
            <sz val="9"/>
            <color indexed="81"/>
            <rFont val="Tahoma"/>
            <family val="2"/>
          </rPr>
          <t xml:space="preserve">
Par défaut le nombre d'inscrits payants correspond à la somme des inscrits en formation continue renseignés dans le tableaux ci-dessous. Toutefois cette valeur est modificable manuellement.</t>
        </r>
      </text>
    </comment>
    <comment ref="B16" authorId="0" shapeId="0">
      <text>
        <r>
          <rPr>
            <b/>
            <sz val="9"/>
            <color indexed="81"/>
            <rFont val="Tahoma"/>
            <family val="2"/>
          </rPr>
          <t>Utilisateur Windows:</t>
        </r>
        <r>
          <rPr>
            <sz val="9"/>
            <color indexed="81"/>
            <rFont val="Tahoma"/>
            <family val="2"/>
          </rPr>
          <t xml:space="preserve">
uniquement les droits des étudiants en FI, l'intégralité des droits des stagiaires en FC doit être saisie dans la partie "financements propres"</t>
        </r>
      </text>
    </comment>
    <comment ref="B28" authorId="0" shapeId="0">
      <text>
        <r>
          <rPr>
            <b/>
            <sz val="9"/>
            <color indexed="81"/>
            <rFont val="Tahoma"/>
            <family val="2"/>
          </rPr>
          <t>Utilisateur Windows:</t>
        </r>
        <r>
          <rPr>
            <sz val="9"/>
            <color indexed="81"/>
            <rFont val="Tahoma"/>
            <family val="2"/>
          </rPr>
          <t xml:space="preserve">
Ne comptabilise que les tarifs pour lesquels le nombre d'étudiants n'est pas nul</t>
        </r>
      </text>
    </comment>
  </commentList>
</comments>
</file>

<file path=xl/comments3.xml><?xml version="1.0" encoding="utf-8"?>
<comments xmlns="http://schemas.openxmlformats.org/spreadsheetml/2006/main">
  <authors>
    <author>Utilisateur Windows</author>
  </authors>
  <commentList>
    <comment ref="C16"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C17"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 ref="D52" authorId="0" shapeId="0">
      <text>
        <r>
          <rPr>
            <b/>
            <sz val="9"/>
            <color indexed="81"/>
            <rFont val="Tahoma"/>
            <family val="2"/>
          </rPr>
          <t>Utilisateur Windows:</t>
        </r>
        <r>
          <rPr>
            <sz val="9"/>
            <color indexed="81"/>
            <rFont val="Tahoma"/>
            <family val="2"/>
          </rPr>
          <t xml:space="preserve">
Coût du service commun de formation continue</t>
        </r>
      </text>
    </comment>
    <comment ref="C53" authorId="0" shapeId="0">
      <text>
        <r>
          <rPr>
            <b/>
            <sz val="9"/>
            <color indexed="81"/>
            <rFont val="Tahoma"/>
            <family val="2"/>
          </rPr>
          <t>Utilisateur Windows:</t>
        </r>
        <r>
          <rPr>
            <sz val="9"/>
            <color indexed="81"/>
            <rFont val="Tahoma"/>
            <family val="2"/>
          </rPr>
          <t xml:space="preserve">
Coût des personnels BIATSS des composantes, de la DFVE, de la DRI, du SCUIO, etc</t>
        </r>
      </text>
    </comment>
    <comment ref="C54" authorId="0" shapeId="0">
      <text>
        <r>
          <rPr>
            <b/>
            <sz val="9"/>
            <color indexed="81"/>
            <rFont val="Tahoma"/>
            <family val="2"/>
          </rPr>
          <t>Utilisateur Windows:</t>
        </r>
        <r>
          <rPr>
            <sz val="9"/>
            <color indexed="81"/>
            <rFont val="Tahoma"/>
            <family val="2"/>
          </rPr>
          <t xml:space="preserve">
Coûts du SCD</t>
        </r>
      </text>
    </comment>
    <comment ref="C55" authorId="0" shapeId="0">
      <text>
        <r>
          <rPr>
            <b/>
            <sz val="9"/>
            <color indexed="81"/>
            <rFont val="Tahoma"/>
            <family val="2"/>
          </rPr>
          <t>Utilisateur Windows:</t>
        </r>
        <r>
          <rPr>
            <sz val="9"/>
            <color indexed="81"/>
            <rFont val="Tahoma"/>
            <family val="2"/>
          </rPr>
          <t xml:space="preserve">
Coûts de la DFVE vie étudiante, du SUAPS, du SUMMPS, etc</t>
        </r>
      </text>
    </comment>
    <comment ref="D57" authorId="0" shapeId="0">
      <text>
        <r>
          <rPr>
            <b/>
            <sz val="9"/>
            <color indexed="81"/>
            <rFont val="Tahoma"/>
            <family val="2"/>
          </rPr>
          <t>Utilisateur Windows:</t>
        </r>
        <r>
          <rPr>
            <sz val="9"/>
            <color indexed="81"/>
            <rFont val="Tahoma"/>
            <family val="2"/>
          </rPr>
          <t xml:space="preserve">
Coûts des services centraux (présidence, Agence Comptable, DAF, communication,…)</t>
        </r>
      </text>
    </comment>
    <comment ref="C58" authorId="0" shapeId="0">
      <text>
        <r>
          <rPr>
            <b/>
            <sz val="9"/>
            <color indexed="81"/>
            <rFont val="Tahoma"/>
            <family val="2"/>
          </rPr>
          <t>Utilisateur Windows:</t>
        </r>
        <r>
          <rPr>
            <sz val="9"/>
            <color indexed="81"/>
            <rFont val="Tahoma"/>
            <family val="2"/>
          </rPr>
          <t xml:space="preserve">
Coûts de la DIMMO</t>
        </r>
      </text>
    </comment>
    <comment ref="D59" authorId="0" shapeId="0">
      <text>
        <r>
          <rPr>
            <b/>
            <sz val="9"/>
            <color indexed="81"/>
            <rFont val="Tahoma"/>
            <family val="2"/>
          </rPr>
          <t>Utilisateur Windows:</t>
        </r>
        <r>
          <rPr>
            <sz val="9"/>
            <color indexed="81"/>
            <rFont val="Tahoma"/>
            <family val="2"/>
          </rPr>
          <t xml:space="preserve">
Coûts de la DSI</t>
        </r>
      </text>
    </comment>
  </commentList>
</comments>
</file>

<file path=xl/comments4.xml><?xml version="1.0" encoding="utf-8"?>
<comments xmlns="http://schemas.openxmlformats.org/spreadsheetml/2006/main">
  <authors>
    <author>Utilisateur Windows</author>
  </authors>
  <commentList>
    <comment ref="C16"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C17"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 ref="D51" authorId="0" shapeId="0">
      <text>
        <r>
          <rPr>
            <b/>
            <sz val="9"/>
            <color indexed="81"/>
            <rFont val="Tahoma"/>
            <family val="2"/>
          </rPr>
          <t>Utilisateur Windows:</t>
        </r>
        <r>
          <rPr>
            <sz val="9"/>
            <color indexed="81"/>
            <rFont val="Tahoma"/>
            <family val="2"/>
          </rPr>
          <t xml:space="preserve">
Coût du service commun de formation continue</t>
        </r>
      </text>
    </comment>
    <comment ref="C52" authorId="0" shapeId="0">
      <text>
        <r>
          <rPr>
            <b/>
            <sz val="9"/>
            <color indexed="81"/>
            <rFont val="Tahoma"/>
            <family val="2"/>
          </rPr>
          <t>Utilisateur Windows:</t>
        </r>
        <r>
          <rPr>
            <sz val="9"/>
            <color indexed="81"/>
            <rFont val="Tahoma"/>
            <family val="2"/>
          </rPr>
          <t xml:space="preserve">
Coût des personnels BIATSS des composantes, de la DFVE, de la DRI, du SCUIO, etc</t>
        </r>
      </text>
    </comment>
    <comment ref="C53" authorId="0" shapeId="0">
      <text>
        <r>
          <rPr>
            <b/>
            <sz val="9"/>
            <color indexed="81"/>
            <rFont val="Tahoma"/>
            <family val="2"/>
          </rPr>
          <t>Utilisateur Windows:</t>
        </r>
        <r>
          <rPr>
            <sz val="9"/>
            <color indexed="81"/>
            <rFont val="Tahoma"/>
            <family val="2"/>
          </rPr>
          <t xml:space="preserve">
Coûts du SCD</t>
        </r>
      </text>
    </comment>
    <comment ref="C54" authorId="0" shapeId="0">
      <text>
        <r>
          <rPr>
            <b/>
            <sz val="9"/>
            <color indexed="81"/>
            <rFont val="Tahoma"/>
            <family val="2"/>
          </rPr>
          <t>Utilisateur Windows:</t>
        </r>
        <r>
          <rPr>
            <sz val="9"/>
            <color indexed="81"/>
            <rFont val="Tahoma"/>
            <family val="2"/>
          </rPr>
          <t xml:space="preserve">
Coûts de la DFVE vie étudiante, du SUAPS, du SUMMPS, etc</t>
        </r>
      </text>
    </comment>
    <comment ref="D56" authorId="0" shapeId="0">
      <text>
        <r>
          <rPr>
            <b/>
            <sz val="9"/>
            <color indexed="81"/>
            <rFont val="Tahoma"/>
            <family val="2"/>
          </rPr>
          <t>Utilisateur Windows:</t>
        </r>
        <r>
          <rPr>
            <sz val="9"/>
            <color indexed="81"/>
            <rFont val="Tahoma"/>
            <family val="2"/>
          </rPr>
          <t xml:space="preserve">
Coûts des services centraux (présidence, Agence Comptable, DAF, communication,…)</t>
        </r>
      </text>
    </comment>
    <comment ref="C57" authorId="0" shapeId="0">
      <text>
        <r>
          <rPr>
            <b/>
            <sz val="9"/>
            <color indexed="81"/>
            <rFont val="Tahoma"/>
            <family val="2"/>
          </rPr>
          <t>Utilisateur Windows:</t>
        </r>
        <r>
          <rPr>
            <sz val="9"/>
            <color indexed="81"/>
            <rFont val="Tahoma"/>
            <family val="2"/>
          </rPr>
          <t xml:space="preserve">
Coûts de la DIMMO</t>
        </r>
      </text>
    </comment>
    <comment ref="D58" authorId="0" shapeId="0">
      <text>
        <r>
          <rPr>
            <b/>
            <sz val="9"/>
            <color indexed="81"/>
            <rFont val="Tahoma"/>
            <family val="2"/>
          </rPr>
          <t>Utilisateur Windows:</t>
        </r>
        <r>
          <rPr>
            <sz val="9"/>
            <color indexed="81"/>
            <rFont val="Tahoma"/>
            <family val="2"/>
          </rPr>
          <t xml:space="preserve">
Coûts de la DSI</t>
        </r>
      </text>
    </comment>
  </commentList>
</comments>
</file>

<file path=xl/sharedStrings.xml><?xml version="1.0" encoding="utf-8"?>
<sst xmlns="http://schemas.openxmlformats.org/spreadsheetml/2006/main" count="570" uniqueCount="325">
  <si>
    <t>codes
 maquette financière</t>
  </si>
  <si>
    <t>Dispositions prévues par l’arrêté du 31 juillet 2009</t>
  </si>
  <si>
    <t>Règles de référentiel / validé avril 2020</t>
  </si>
  <si>
    <t>Enveloppe Réferentiel composante</t>
  </si>
  <si>
    <t>Recettes d’activité</t>
  </si>
  <si>
    <t>A.2</t>
  </si>
  <si>
    <t>ACCOMPAGNEMENT</t>
  </si>
  <si>
    <t>A. 2.1</t>
  </si>
  <si>
    <t>Accompagnement 
projet tutoré</t>
  </si>
  <si>
    <t>Hors apprentissage : encadrement des projets tutorés présents dans la maquette et donnant lieu à une évaluation dans la limite de 15 HETD à moduler selon le nombre d'étudiant</t>
  </si>
  <si>
    <t>X</t>
  </si>
  <si>
    <t>Dans le cadre de l'apprentissage, encadrement des projets tutorés présents dans la maquette et donnant lieu à une évaluation :  plafond de 20 HETD par projet</t>
  </si>
  <si>
    <t>A. 2.2</t>
  </si>
  <si>
    <t>Suivi mémoires</t>
  </si>
  <si>
    <t>Hors apprentissage : encadrement des mémoires dans la limite de 15 HETD à moduler selon le nombre d'étudiants et le niveau</t>
  </si>
  <si>
    <t>Dans le cadre de l'apprentissage et de la formation continue, le plafond est de 24 HETD en fonction du nombre d’étudiants</t>
  </si>
  <si>
    <t>A. 2.3</t>
  </si>
  <si>
    <t>Suivi de stage avec suivi sur le lieu de stage, du rapport et lien avec le maître de stage</t>
  </si>
  <si>
    <t>Hors apprentissage : encadrement des stages de plus de 2 mois dans la limite de 15 HETD à moduler selon le nombre d'étudiants et le niveau</t>
  </si>
  <si>
    <t>A. 2.4</t>
  </si>
  <si>
    <t>Tutorat apprentissage</t>
  </si>
  <si>
    <t>Dans le cadre de l'apprentissage : plafond de 2 HETD par visite d'entreprise (2,5 HETD dans le cas d’entreprise éloignée) et/ou pour l'encadrement des projets étudiant + plafond  de 5 HETD pour l'encadrement d’un stage préparatoire à l’apprentissage (2 visites)</t>
  </si>
  <si>
    <t>A. 2.5</t>
  </si>
  <si>
    <t>Sorties pédagogiques /
 journées d'étude</t>
  </si>
  <si>
    <t>non prévu dans le référentiel</t>
  </si>
  <si>
    <t>A.3</t>
  </si>
  <si>
    <t>ENCADREMENT ET PILOTAGE DU DIPLÔME</t>
  </si>
  <si>
    <t>A. 3.1</t>
  </si>
  <si>
    <t>Responsabilité diplôme 
Activités pédagogiques / responsable de structures ou de missions pédagogiques</t>
  </si>
  <si>
    <t>Plafond de 30 HETD pour la responsabilité d'une filière, d'un portail, d'une licence ou d'un master ainsi que  pour la coordination d'une mention co- accrédite.</t>
  </si>
  <si>
    <t>Plafond de 10 HETD : coordination des stages obligatoires dans une même formation (figurant dans la maquette)</t>
  </si>
  <si>
    <t>Plafond de 20 HETD : DU et formation continue</t>
  </si>
  <si>
    <t>A. 3.2</t>
  </si>
  <si>
    <t>Heures de recrutement (1 / 20 dossiers)</t>
  </si>
  <si>
    <t>Dans le cadre de l'apprentissage, plafond d'1 HETD par jury de recrutement des étudiants – 1 HETD pour 20 dossiers de recrutement apprentissage</t>
  </si>
  <si>
    <t>A. 3.3</t>
  </si>
  <si>
    <t>Autres</t>
  </si>
  <si>
    <t>MODE OPERATOIRE EN COURS DE REALISATION (PAS A JOUR)</t>
  </si>
  <si>
    <t>Vous trouverez ci-dessous les grandes étapes explicatives de la saisie de la maquette. Le détail de fonctionnement des cellucles est intégré au travers de commentaires dans chacun des onglets.</t>
  </si>
  <si>
    <t>Onglet "enseignements"</t>
  </si>
  <si>
    <r>
      <rPr>
        <b/>
        <sz val="10"/>
        <rFont val="Arial"/>
        <family val="2"/>
      </rPr>
      <t xml:space="preserve">     * Saisie de la structure pédagogique (colonnes C à N):</t>
    </r>
    <r>
      <rPr>
        <sz val="10"/>
        <rFont val="Arial"/>
        <family val="2"/>
      </rPr>
      <t xml:space="preserve">
</t>
    </r>
  </si>
  <si>
    <t xml:space="preserve">La composante saisit de manière exhausive la structure pédagogique de la formation avec les effectifs prévisionnels pour chaque enseignement, le nombre de groupes, etc. </t>
  </si>
  <si>
    <t>A partir de ces éléments, le nombre d'heure d'enseignements en équivalent TD est automatiquement calculé.</t>
  </si>
  <si>
    <t>Pour chaque enseignement il est important de préciser le type d'enseignement car celui-ci va conditionner le calcul du budget :</t>
  </si>
  <si>
    <r>
      <rPr>
        <b/>
        <sz val="10"/>
        <rFont val="Arial"/>
        <family val="2"/>
      </rPr>
      <t>CM</t>
    </r>
    <r>
      <rPr>
        <sz val="10"/>
        <rFont val="Arial"/>
        <family val="2"/>
      </rPr>
      <t xml:space="preserve"> = cours magistraux                                   </t>
    </r>
    <r>
      <rPr>
        <b/>
        <sz val="10"/>
        <rFont val="Arial"/>
        <family val="2"/>
      </rPr>
      <t>MEAU</t>
    </r>
    <r>
      <rPr>
        <sz val="10"/>
        <rFont val="Arial"/>
        <family val="2"/>
      </rPr>
      <t xml:space="preserve"> = mémoire de recherche en autonomie*
</t>
    </r>
    <r>
      <rPr>
        <b/>
        <sz val="10"/>
        <rFont val="Arial"/>
        <family val="2"/>
      </rPr>
      <t xml:space="preserve">TD </t>
    </r>
    <r>
      <rPr>
        <sz val="10"/>
        <rFont val="Arial"/>
        <family val="2"/>
      </rPr>
      <t xml:space="preserve">= travaux dirigés                                       </t>
    </r>
    <r>
      <rPr>
        <b/>
        <sz val="10"/>
        <rFont val="Arial"/>
        <family val="2"/>
      </rPr>
      <t>METD</t>
    </r>
    <r>
      <rPr>
        <sz val="10"/>
        <rFont val="Arial"/>
        <family val="2"/>
      </rPr>
      <t xml:space="preserve"> = mémoire de recherche en regroupement TD*                       
</t>
    </r>
    <r>
      <rPr>
        <b/>
        <sz val="10"/>
        <rFont val="Arial"/>
        <family val="2"/>
      </rPr>
      <t>ST</t>
    </r>
    <r>
      <rPr>
        <sz val="10"/>
        <rFont val="Arial"/>
        <family val="2"/>
      </rPr>
      <t xml:space="preserve"> = stage                                                     </t>
    </r>
    <r>
      <rPr>
        <b/>
        <sz val="10"/>
        <rFont val="Arial"/>
        <family val="2"/>
      </rPr>
      <t>FOAD</t>
    </r>
    <r>
      <rPr>
        <sz val="10"/>
        <rFont val="Arial"/>
        <family val="2"/>
      </rPr>
      <t xml:space="preserve"> = formation à distance
</t>
    </r>
    <r>
      <rPr>
        <b/>
        <sz val="10"/>
        <rFont val="Arial"/>
        <family val="2"/>
      </rPr>
      <t>ENT</t>
    </r>
    <r>
      <rPr>
        <sz val="10"/>
        <rFont val="Arial"/>
        <family val="2"/>
      </rPr>
      <t xml:space="preserve"> = entreprise (alternance)                         </t>
    </r>
    <r>
      <rPr>
        <b/>
        <sz val="10"/>
        <rFont val="Arial"/>
        <family val="2"/>
      </rPr>
      <t>AFEST</t>
    </r>
    <r>
      <rPr>
        <sz val="10"/>
        <rFont val="Arial"/>
        <family val="2"/>
      </rPr>
      <t xml:space="preserve"> = action de formation en situation de travai
</t>
    </r>
    <r>
      <rPr>
        <b/>
        <sz val="10"/>
        <rFont val="Arial"/>
        <family val="2"/>
      </rPr>
      <t>PTAU</t>
    </r>
    <r>
      <rPr>
        <sz val="10"/>
        <rFont val="Arial"/>
        <family val="2"/>
      </rPr>
      <t xml:space="preserve"> = projet tutoré en autonomie*                 </t>
    </r>
    <r>
      <rPr>
        <b/>
        <sz val="10"/>
        <rFont val="Arial"/>
        <family val="2"/>
      </rPr>
      <t>SP</t>
    </r>
    <r>
      <rPr>
        <sz val="10"/>
        <rFont val="Arial"/>
        <family val="2"/>
      </rPr>
      <t xml:space="preserve"> = sorties pédagogiques
</t>
    </r>
    <r>
      <rPr>
        <b/>
        <sz val="10"/>
        <rFont val="Arial"/>
        <family val="2"/>
      </rPr>
      <t>PTTD</t>
    </r>
    <r>
      <rPr>
        <sz val="10"/>
        <rFont val="Arial"/>
        <family val="2"/>
      </rPr>
      <t xml:space="preserve"> = projet tutoré en regroupement TD*       </t>
    </r>
    <r>
      <rPr>
        <b/>
        <sz val="10"/>
        <rFont val="Arial"/>
        <family val="2"/>
      </rPr>
      <t>JE</t>
    </r>
    <r>
      <rPr>
        <sz val="10"/>
        <rFont val="Arial"/>
        <family val="2"/>
      </rPr>
      <t xml:space="preserve"> = journées d'étude</t>
    </r>
  </si>
  <si>
    <t>* Pour les projets tutorés et les mémoires nous distinguons le travail en autonomie du travail réalisé lors de regroupements en TD. En effet cela permet par la suite de distinguer les heures d'enseignement TD en face à face des heures d'accompagnement.</t>
  </si>
  <si>
    <r>
      <rPr>
        <u/>
        <sz val="10"/>
        <rFont val="Arial"/>
        <family val="2"/>
      </rPr>
      <t>Si l'enseignement est optionnel</t>
    </r>
    <r>
      <rPr>
        <sz val="10"/>
        <rFont val="Arial"/>
        <family val="2"/>
      </rPr>
      <t xml:space="preserve"> il faudra préciser le nombre d'options parmis lesquels l'étudiant doit choisir. 
A titre d'exemple, au sein d'une UE ou d'un module, la formation propose trois options (A, B et C) parmi lesquelles l'étudiant doit en choisir 2. La saisie de l'UE/modue devra être effectuée de la manière suivante :
     </t>
    </r>
  </si>
  <si>
    <t xml:space="preserve">         - chacune des options doit être modalisée sur une ligne
         - toutes doivent comporter le même code enseignement
         - préciser "option" pour chacune
         - préciser 2 dans la colonne "nombre de choix" car l'étudiant doit choisir 2 options parmi les 3
         - préciser le nombre d'édudiants qui seront inscrits dans chaque option. Dans notre exemple, sur une promotion de 20 étudiants, 5 sont inscrits en option A,4 en B et 11 en C</t>
  </si>
  <si>
    <t xml:space="preserve">     * Saisie des heures d'enseignement (colonne Q à X)</t>
  </si>
  <si>
    <t>Une fois les informations concernant la structure pédagogique saisies, il est nécessaire de déterminer le nombre d'heures d'enseignement en équivalent TD qui vont être réalisées:
         - les heures d'enseignement en face à face (HETD) sont calculées automatiquement en colonne P sur la base des éléments déclarés dans la partie structure pédagogique
         - les heures d'accompagnement pédagogique (encadrement des stages, des projets tutorés, des mémoires, etc) sont à saisir manuellement en colonne Q</t>
  </si>
  <si>
    <t xml:space="preserve">Le total des heures est ensuite additionné en colonne R. </t>
  </si>
  <si>
    <t>Enfin, il faut préciser quelles atégories d'intervenants vont réaliser les enseignements. Ceci permet d'ajuster la masse salariale prévisionnelle en appliquant des coûts horaires moyens différents en fonction du statut de l'intervenant.</t>
  </si>
  <si>
    <t>A noter que cet onglet ne prend pas en compte les heures de pilotage et d'encadrement du diplôme qui seront ajoutés par la suite dans le budget.</t>
  </si>
  <si>
    <t xml:space="preserve">     * Contrôles de cohérence</t>
  </si>
  <si>
    <t>- heures d'enseignement cohérent (R=W) : le contrôle permet de vérifier qu'il n'y a pas d'écart entre le nombre d'heures d'enseignement nécessaires pour la formation (colonne R) et le total d'heures répartis sur les différents status des intervenants (colonne W)</t>
  </si>
  <si>
    <t>- nombre maximum d'apprenant cohérent (K &lt; nombre total d'inscrits) : le contrôle permet de s'assurer que le nombre d'inscrits indiqués pour chaque enseignement (colonne K) est inférieur ou égal au nombre d'inscrits total de la formation indiqués dans l'onglet "recettes et simulations" (E6)</t>
  </si>
  <si>
    <t>Pour ces deux contrôles, les valeurs en anomalie apparaitrons en rouge dans les lignes d'enseignement.</t>
  </si>
  <si>
    <t>Onglet "recettes et simulations"</t>
  </si>
  <si>
    <t>Cet onglet permet à la fois de saisir les recettes et le nombre d'inscriptions attendus sur la formation. La combinaison de ces éléments permets de simuler plusieurs scénarios et de mesurer l'équilibre financier de la formation.</t>
  </si>
  <si>
    <t>Les recettes saisies sont automatiquement intégrées dans l'onglet "budget détaillé".</t>
  </si>
  <si>
    <r>
      <rPr>
        <u/>
        <sz val="10"/>
        <rFont val="Arial"/>
        <family val="2"/>
      </rPr>
      <t>Rappel du résultat pour la part autofinancée</t>
    </r>
    <r>
      <rPr>
        <sz val="10"/>
        <rFont val="Arial"/>
        <family val="2"/>
      </rPr>
      <t xml:space="preserve"> : indique le résultat financier des statigaires en formation continue, avec et sans prise en compte des heures d'absentéisme qui pourraient éventuellement venir dégrever les recettes. Le résultat doit obligatoirement être supérieur ou égal à 0 afin d'assurer que les recettes couvrent bien les dépenses, la formation continue devant s'auto-financer.</t>
    </r>
  </si>
  <si>
    <r>
      <rPr>
        <u/>
        <sz val="10"/>
        <rFont val="Arial"/>
        <family val="2"/>
      </rPr>
      <t>Rappel de la part à financer par l'université au titre de la formation initiale</t>
    </r>
    <r>
      <rPr>
        <sz val="10"/>
        <rFont val="Arial"/>
        <family val="2"/>
      </rPr>
      <t xml:space="preserve"> : indique la contribution de l'université au titre des étudiants inscrits en formation initiale. Celui-ci est exprimé en montant de charges mais également en nombre d'heures d'enseignement à prendre en charge par l'établissement.</t>
    </r>
  </si>
  <si>
    <t>- le volume horaire (D18 à D27) des contrats de professionnalisation doit être compris entre 250h et 400h, il apparaitra en rouge dans le cas contraire</t>
  </si>
  <si>
    <t>- le volume horaire (D18 à D27) des contrats d'apprentissage doit être supérieur à 400h, il apparaitra en rouge dans le cas contraire</t>
  </si>
  <si>
    <t>Code Enseignement</t>
  </si>
  <si>
    <t>Libellé enseignement</t>
  </si>
  <si>
    <t>Obligatoire ou optionnel</t>
  </si>
  <si>
    <t>Nb choix</t>
  </si>
  <si>
    <t>type d'enseignement</t>
  </si>
  <si>
    <t>Volume horaire</t>
  </si>
  <si>
    <t>Nb inscrits total</t>
  </si>
  <si>
    <t>Capacité  groupe</t>
  </si>
  <si>
    <t>Portage extérieur</t>
  </si>
  <si>
    <t>Mention, parcours, établissement extérieur porteur</t>
  </si>
  <si>
    <t>Nb de groupes</t>
  </si>
  <si>
    <t xml:space="preserve">Nb d'heures effectives enseigement pédagogique </t>
  </si>
  <si>
    <t>Nb d'heures d'accompagnement</t>
  </si>
  <si>
    <t>Total heures effectives</t>
  </si>
  <si>
    <t>Total HETD</t>
  </si>
  <si>
    <t>Enseignants titulaires</t>
  </si>
  <si>
    <t>Enseignants non titulaires</t>
  </si>
  <si>
    <t xml:space="preserve">Vacataires </t>
  </si>
  <si>
    <t xml:space="preserve">Total heures effectives </t>
  </si>
  <si>
    <t>Commentaires et mode de calcul de l'accompagnement</t>
  </si>
  <si>
    <t xml:space="preserve">Nb d'heures étudiant proratisé </t>
  </si>
  <si>
    <t>Nb d'heures tous apprenants</t>
  </si>
  <si>
    <t>Semestre 1</t>
  </si>
  <si>
    <t>Histoire et acteurs de l’ESS</t>
  </si>
  <si>
    <t>Obligatoire</t>
  </si>
  <si>
    <t>TD</t>
  </si>
  <si>
    <t>Les enjeux contemporains de l’ESS</t>
  </si>
  <si>
    <t xml:space="preserve">Socioéconomie des services </t>
  </si>
  <si>
    <t>Stratégie des organisations de l’ESS</t>
  </si>
  <si>
    <t>Jeu d'entreprise</t>
  </si>
  <si>
    <t>CM</t>
  </si>
  <si>
    <t>Mut+ext</t>
  </si>
  <si>
    <t>ESS FI</t>
  </si>
  <si>
    <t>Management et gouvernance des organisations de l’ESS</t>
  </si>
  <si>
    <t>La sociologie des organisations de l’ESS</t>
  </si>
  <si>
    <t>GOESS</t>
  </si>
  <si>
    <t>Entrepreneuriat en ESS</t>
  </si>
  <si>
    <t xml:space="preserve">Evaluation et création de valeurs </t>
  </si>
  <si>
    <t>Séminaires</t>
  </si>
  <si>
    <t>JESUIV</t>
  </si>
  <si>
    <t>Management des RH et intelligence collective</t>
  </si>
  <si>
    <t>Economie et développement local</t>
  </si>
  <si>
    <t xml:space="preserve">Economie circulaire </t>
  </si>
  <si>
    <t>Pratiques collaboratives et territoires</t>
  </si>
  <si>
    <t xml:space="preserve">Méthodologie du mémoire </t>
  </si>
  <si>
    <r>
      <t xml:space="preserve">Analyse de la pratique et </t>
    </r>
    <r>
      <rPr>
        <sz val="12"/>
        <color rgb="FFFF0000"/>
        <rFont val="Calibri"/>
        <family val="2"/>
        <scheme val="minor"/>
      </rPr>
      <t>autobiographie raisonnée</t>
    </r>
  </si>
  <si>
    <t>Economie des inégalités et de la justice</t>
  </si>
  <si>
    <t xml:space="preserve">Transition et post-croissance </t>
  </si>
  <si>
    <t xml:space="preserve">Responsabilité sociale des organisations </t>
  </si>
  <si>
    <t xml:space="preserve">Formes et modalités de coopération en ESS </t>
  </si>
  <si>
    <t>Semestre 2</t>
  </si>
  <si>
    <t>Semestre 3</t>
  </si>
  <si>
    <t>Semestre 4</t>
  </si>
  <si>
    <t>Semestre 5</t>
  </si>
  <si>
    <t>Semestre 6</t>
  </si>
  <si>
    <t>RECETTES ET SIMULATIONS</t>
  </si>
  <si>
    <t>Etablissement</t>
  </si>
  <si>
    <t>Université Lumière Lyon 2</t>
  </si>
  <si>
    <t>Type de formation</t>
  </si>
  <si>
    <t>Master</t>
  </si>
  <si>
    <t>RNCP / RS</t>
  </si>
  <si>
    <t>En cours</t>
  </si>
  <si>
    <t>Nom de la formation</t>
  </si>
  <si>
    <t xml:space="preserve">Economie sociale et solidaire </t>
  </si>
  <si>
    <t xml:space="preserve">Nombre d'inscrits total
</t>
  </si>
  <si>
    <t>Composante</t>
  </si>
  <si>
    <t>SEG - Sciences Economiques et de Gestion</t>
  </si>
  <si>
    <t>Cellules à saisir manuellement</t>
  </si>
  <si>
    <t>Nombre d'inscrits payants</t>
  </si>
  <si>
    <t>Année scolaire considérée</t>
  </si>
  <si>
    <t>Rappel de la part à financer au titre de la formation initiale</t>
  </si>
  <si>
    <t>Rappel du résultat pour la part autofinancée</t>
  </si>
  <si>
    <t>Avec absentéisme</t>
  </si>
  <si>
    <t>Rappel du coût moyen par étudiant FC</t>
  </si>
  <si>
    <t>Rappel du résultat total</t>
  </si>
  <si>
    <t>Sans absentisme</t>
  </si>
  <si>
    <t>DROITS D'INSCRIPTION</t>
  </si>
  <si>
    <t>Tarif</t>
  </si>
  <si>
    <t>Type de dispositif</t>
  </si>
  <si>
    <t>Tarif de la formation</t>
  </si>
  <si>
    <t>Nombre inscrits</t>
  </si>
  <si>
    <t>Total</t>
  </si>
  <si>
    <t>Tarif horaire</t>
  </si>
  <si>
    <t>Taux d'absentéisme (en %)</t>
  </si>
  <si>
    <t>Recettes (avec absentéisme)</t>
  </si>
  <si>
    <t>Tarif horaire avec absentéisme</t>
  </si>
  <si>
    <t>Commentaire/description du tarif</t>
  </si>
  <si>
    <t>Contrat de professionnalisation</t>
  </si>
  <si>
    <t>FORMATION INITIALE</t>
  </si>
  <si>
    <t>Contrat d'apprentissage</t>
  </si>
  <si>
    <t>Droits d'inscription nationaux</t>
  </si>
  <si>
    <t>FINANCEMENTS PROPRES</t>
  </si>
  <si>
    <t>TARIF 1</t>
  </si>
  <si>
    <t>Formation continue</t>
  </si>
  <si>
    <t>TARIF 2</t>
  </si>
  <si>
    <t>TARIF 3</t>
  </si>
  <si>
    <t>TARIF 4</t>
  </si>
  <si>
    <t>TARIF 5</t>
  </si>
  <si>
    <t>TARIF 6</t>
  </si>
  <si>
    <t>TARIF 7</t>
  </si>
  <si>
    <t>TARIF 8</t>
  </si>
  <si>
    <t>TARIF 9</t>
  </si>
  <si>
    <t>TARIF 10</t>
  </si>
  <si>
    <t>Total droits d'inscription payés</t>
  </si>
  <si>
    <t>SUBVENTIONS (hors SCSP)</t>
  </si>
  <si>
    <t>Type de subvention</t>
  </si>
  <si>
    <t>Financeur</t>
  </si>
  <si>
    <t>Montant</t>
  </si>
  <si>
    <t>Commentaire</t>
  </si>
  <si>
    <t>Total subventions</t>
  </si>
  <si>
    <t>Types d'enseignements</t>
  </si>
  <si>
    <t>Liste des composantes</t>
  </si>
  <si>
    <t>Heures effectives</t>
  </si>
  <si>
    <t>HETD</t>
  </si>
  <si>
    <t>Cours magistral</t>
  </si>
  <si>
    <t>ASSP - Anthropologie, Sociologie, Scienes Poliques</t>
  </si>
  <si>
    <t>Travaux dirigés</t>
  </si>
  <si>
    <t>CIEF - Centre International d'Etudes Françaises</t>
  </si>
  <si>
    <t>Travaux pratiques</t>
  </si>
  <si>
    <t>TP</t>
  </si>
  <si>
    <t>FJVD - Faculté de Droit Julie-Victoire Daubié</t>
  </si>
  <si>
    <t>Stage (suivi)</t>
  </si>
  <si>
    <t>STSUIV</t>
  </si>
  <si>
    <t>ICOM - Institut de Communication</t>
  </si>
  <si>
    <t>Stage (TD)</t>
  </si>
  <si>
    <t>STTD</t>
  </si>
  <si>
    <t>IETL - Institut d'Etudes du Travail de Lyon</t>
  </si>
  <si>
    <t>Stage (CM)</t>
  </si>
  <si>
    <t>STCM</t>
  </si>
  <si>
    <t>ISPEF - Institut des Sciences et Pratiques d'Education de la Formation</t>
  </si>
  <si>
    <t>Alternance (suivi)</t>
  </si>
  <si>
    <t>ALTSUIV</t>
  </si>
  <si>
    <t>IUT - Institut Universitaire de Technologie Lumière</t>
  </si>
  <si>
    <t>Alternance (TD)</t>
  </si>
  <si>
    <t>ALTTD</t>
  </si>
  <si>
    <t>LANG - Langues</t>
  </si>
  <si>
    <t>Alternance (CM)</t>
  </si>
  <si>
    <t>ALTCM</t>
  </si>
  <si>
    <t>LESLA - Lettres, Sciences du Langage et Arts</t>
  </si>
  <si>
    <t>Projet (suivi)</t>
  </si>
  <si>
    <t>PROJSUIV</t>
  </si>
  <si>
    <t>PSYCHO - Institut de psychologie</t>
  </si>
  <si>
    <t>Projet (TD)</t>
  </si>
  <si>
    <t>PROJTD</t>
  </si>
  <si>
    <t>Projet (CM)</t>
  </si>
  <si>
    <t>PROJCM</t>
  </si>
  <si>
    <t>TT - Temps et Territoires</t>
  </si>
  <si>
    <t>Mémoire de recherche (suivi)</t>
  </si>
  <si>
    <t>MEMSUIV</t>
  </si>
  <si>
    <t>Mémoire de recherche (TD)</t>
  </si>
  <si>
    <t>MEMTD</t>
  </si>
  <si>
    <t>Mémoire de recherche (CM)</t>
  </si>
  <si>
    <t>MEMCM</t>
  </si>
  <si>
    <t>Formation à distance</t>
  </si>
  <si>
    <t>FOAD</t>
  </si>
  <si>
    <t>Sortie pédagogique (suivi)</t>
  </si>
  <si>
    <t>SPSUIV</t>
  </si>
  <si>
    <t>Sortie pédagogique (TD)</t>
  </si>
  <si>
    <t>SPTD</t>
  </si>
  <si>
    <t>Sortie pédagogique (CM)</t>
  </si>
  <si>
    <t>SPCM</t>
  </si>
  <si>
    <t>Journée d'étude (suivi)</t>
  </si>
  <si>
    <t>Journée d'étude (TD)</t>
  </si>
  <si>
    <t>JETD</t>
  </si>
  <si>
    <t>Journée d'étude (CM)</t>
  </si>
  <si>
    <t>JECM</t>
  </si>
  <si>
    <t>BUDGET PREVISIONNEL</t>
  </si>
  <si>
    <t>REPARTITION EN CAS DE PARTENARIAT</t>
  </si>
  <si>
    <t>Formation</t>
  </si>
  <si>
    <t>DEPENSES</t>
  </si>
  <si>
    <t>A</t>
  </si>
  <si>
    <t>REALISATION, PREPARATION DES ENSEIGNEMENTS et CHARGES SPECIFIQUES A CETTE FORMATION</t>
  </si>
  <si>
    <t>Nombre d'Heures à payer (HETD)</t>
  </si>
  <si>
    <t>Coût horaire</t>
  </si>
  <si>
    <t>TOTAL</t>
  </si>
  <si>
    <t>Part financée par SCSP (FI)</t>
  </si>
  <si>
    <t>Part financée sur ressources propres (FTLV)</t>
  </si>
  <si>
    <t>Lyon 2</t>
  </si>
  <si>
    <t>Partenaire 1</t>
  </si>
  <si>
    <t>Partenaire 2</t>
  </si>
  <si>
    <t>Partenaire 3</t>
  </si>
  <si>
    <t>CHARGES DIRECTES DE PERSONNEL</t>
  </si>
  <si>
    <t>du CA</t>
  </si>
  <si>
    <t>A.1</t>
  </si>
  <si>
    <t>ENSEIGNEMENT DISCIPLINAIRE</t>
  </si>
  <si>
    <t>A. 1.1</t>
  </si>
  <si>
    <t>A. 1.2</t>
  </si>
  <si>
    <t>A. 1.3</t>
  </si>
  <si>
    <t>Vacataires</t>
  </si>
  <si>
    <t>A. 1.4</t>
  </si>
  <si>
    <t>Autres (à définir)</t>
  </si>
  <si>
    <t>TOTAL heures ETD enseignement disciplinaire</t>
  </si>
  <si>
    <t>Accompagnement projet</t>
  </si>
  <si>
    <t>Soutenances mémoires</t>
  </si>
  <si>
    <t>Visite en stage</t>
  </si>
  <si>
    <t>A. 2.6</t>
  </si>
  <si>
    <t>Sorties pédagogiques / journées d'étude</t>
  </si>
  <si>
    <t>TOTAL heures accompagnement pédagogique</t>
  </si>
  <si>
    <t>Responsabilité diplôme</t>
  </si>
  <si>
    <t>TOTAL heures encadrement et pilotage du diplôme</t>
  </si>
  <si>
    <t>Nombre total d'heures intervenants</t>
  </si>
  <si>
    <t>Masse salariale intervenants par apprenant</t>
  </si>
  <si>
    <t>CHARGES DIRECTES DE FONCTIONNEMENT</t>
  </si>
  <si>
    <t>A.60</t>
  </si>
  <si>
    <t>Achat de petits materiels et fournitures</t>
  </si>
  <si>
    <t>A.61.1</t>
  </si>
  <si>
    <t>Indemnités d'occupations des locaux (locations &amp; fluides)</t>
  </si>
  <si>
    <t>A.61.2</t>
  </si>
  <si>
    <t>Autres services extérieurs</t>
  </si>
  <si>
    <t>A.62.1</t>
  </si>
  <si>
    <t>Communication et publicité</t>
  </si>
  <si>
    <t>A.62.2</t>
  </si>
  <si>
    <t>Frais déplacements/restauration globaux</t>
  </si>
  <si>
    <t>A.62.3</t>
  </si>
  <si>
    <t>Frais de deplacements/restauration liés aux visites (stage FI)</t>
  </si>
  <si>
    <t>A.62.4</t>
  </si>
  <si>
    <t>Frais de deplacements/restauration liés aux visites (apprentis)</t>
  </si>
  <si>
    <t>A.65</t>
  </si>
  <si>
    <t>Autres charges de gestion courantes</t>
  </si>
  <si>
    <t>A.68</t>
  </si>
  <si>
    <t>Amortissement des biens liés à la formation</t>
  </si>
  <si>
    <t>Charges de fonctionnement par apprenant</t>
  </si>
  <si>
    <t xml:space="preserve">TOTAL DES CHARGES DIRECTES </t>
  </si>
  <si>
    <t>Monant de charges directes par apprenant</t>
  </si>
  <si>
    <t>B</t>
  </si>
  <si>
    <t>CHARGES COMMUNES ET INDIRECTES</t>
  </si>
  <si>
    <t>Montant par apprenant</t>
  </si>
  <si>
    <t>Part financée sur ressources propres</t>
  </si>
  <si>
    <t>CHARGES INDIRECTES DE STOUTIEN</t>
  </si>
  <si>
    <t>B. 1.1</t>
  </si>
  <si>
    <t xml:space="preserve">Appui à la formation tout au long de la vie </t>
  </si>
  <si>
    <t>B. 1.2</t>
  </si>
  <si>
    <t>Appui à la formation</t>
  </si>
  <si>
    <t>B. 1.3</t>
  </si>
  <si>
    <t>Documentation</t>
  </si>
  <si>
    <t>B. 1.4</t>
  </si>
  <si>
    <t>Vie étudiante</t>
  </si>
  <si>
    <t>CHARGES INDIRECTES DE SUPPORT</t>
  </si>
  <si>
    <t>B. 2.1</t>
  </si>
  <si>
    <t>Gouvernance et pilotage</t>
  </si>
  <si>
    <t>B. 2.2</t>
  </si>
  <si>
    <t>Immobilier</t>
  </si>
  <si>
    <t>B.2.3</t>
  </si>
  <si>
    <t>Systèmes d'information et numériques</t>
  </si>
  <si>
    <t xml:space="preserve">TOTAL CHARGES INDIRECTES </t>
  </si>
  <si>
    <t>des dépenses</t>
  </si>
  <si>
    <t>Montant de charges indirectes par apprenant</t>
  </si>
  <si>
    <t xml:space="preserve">TOTAL DES DEPENSES </t>
  </si>
  <si>
    <t>Coût complet par apprenant</t>
  </si>
  <si>
    <t>Coût complet par heure d'enseignement</t>
  </si>
  <si>
    <t>RECETTES</t>
  </si>
  <si>
    <t>C</t>
  </si>
  <si>
    <t>SOURCES DE FINANCEMENT</t>
  </si>
  <si>
    <t>C.1.1</t>
  </si>
  <si>
    <t>Droits d'inscription</t>
  </si>
  <si>
    <t>C.1.2</t>
  </si>
  <si>
    <t>Subventions</t>
  </si>
  <si>
    <t xml:space="preserve">TOTAL DES RECETTES </t>
  </si>
  <si>
    <t>Recette moyenne par apprenant</t>
  </si>
  <si>
    <t>RESULTAT (avant prise en compte de la subvention pour charges de service publique)</t>
  </si>
  <si>
    <t>RESULTAT en valorisant les heures des titulaires au tarif heure complémentaire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</si>
</sst>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_-* #,##0.00\ _€_-;\-* #,##0.00\ _€_-;_-* &quot;-&quot;??\ _€_-;_-@_-"/>
    <numFmt numFmtId="165" formatCode="0.0"/>
    <numFmt numFmtId="166" formatCode="_-* #,##0.00\ &quot;BF&quot;_-;\-* #,##0.00\ &quot;BF&quot;_-;_-* &quot;-&quot;??\ &quot;BF&quot;_-;_-@_-"/>
    <numFmt numFmtId="167" formatCode="#,##0\ &quot;F&quot;"/>
    <numFmt numFmtId="168" formatCode="_-* #,##0.00\ _B_F_-;\-* #,##0.00\ _B_F_-;_-* &quot;-&quot;??\ _B_F_-;_-@_-"/>
    <numFmt numFmtId="169" formatCode="#,##0\ &quot;€&quot;"/>
    <numFmt numFmtId="170" formatCode="#,##0_ ;\-#,##0\ "/>
    <numFmt numFmtId="171" formatCode="_-* #,##0\ [$€]_-;\-* #,##0\ [$€]_-;_-* &quot;-&quot;??\ [$€]_-;_-@_-"/>
    <numFmt numFmtId="172" formatCode="_-* #,##0\ [$€-803]_-;\-* #,##0\ [$€-803]_-;_-* &quot;-&quot;??\ [$€-803]_-;_-@_-"/>
    <numFmt numFmtId="173" formatCode="#,##0.00_ ;\-#,##0.00\ "/>
    <numFmt numFmtId="174" formatCode="_-* #,##0\ &quot;€&quot;_-;\-* #,##0\ &quot;€&quot;_-;_-* &quot;-&quot;??\ &quot;€&quot;_-;_-@_-"/>
    <numFmt numFmtId="175" formatCode="#,##0.00\ &quot;€&quot;"/>
  </numFmts>
  <fonts count="37"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sz val="10"/>
      <name val="Calibri"/>
      <family val="2"/>
      <scheme val="minor"/>
    </font>
    <font>
      <b/>
      <sz val="10"/>
      <name val="Calibri"/>
      <family val="2"/>
      <scheme val="minor"/>
    </font>
    <font>
      <b/>
      <sz val="10"/>
      <color theme="0"/>
      <name val="Calibri"/>
      <family val="2"/>
      <scheme val="minor"/>
    </font>
    <font>
      <b/>
      <sz val="11"/>
      <color theme="0"/>
      <name val="Calibri"/>
      <family val="2"/>
      <scheme val="minor"/>
    </font>
    <font>
      <b/>
      <sz val="10"/>
      <name val="Arial"/>
      <family val="2"/>
    </font>
    <font>
      <u/>
      <sz val="10"/>
      <name val="Arial"/>
      <family val="2"/>
    </font>
    <font>
      <b/>
      <u/>
      <sz val="10"/>
      <name val="Arial"/>
      <family val="2"/>
    </font>
    <font>
      <i/>
      <sz val="9"/>
      <name val="Arial"/>
      <family val="2"/>
    </font>
    <font>
      <sz val="10"/>
      <color rgb="FFFF0000"/>
      <name val="Arial"/>
      <family val="2"/>
    </font>
    <font>
      <sz val="10"/>
      <color rgb="FF000000"/>
      <name val="Times New Roman"/>
      <family val="1"/>
    </font>
    <font>
      <sz val="9.5"/>
      <name val="Calibri"/>
      <family val="2"/>
      <scheme val="minor"/>
    </font>
    <font>
      <sz val="10"/>
      <color rgb="FF000000"/>
      <name val="Calibri"/>
      <family val="2"/>
      <scheme val="minor"/>
    </font>
    <font>
      <sz val="9"/>
      <name val="Calibri"/>
      <family val="2"/>
      <scheme val="minor"/>
    </font>
    <font>
      <b/>
      <sz val="10"/>
      <color rgb="FFFF0000"/>
      <name val="Arial"/>
      <family val="2"/>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b/>
      <sz val="12"/>
      <color theme="1"/>
      <name val="Calibri"/>
      <family val="2"/>
      <scheme val="minor"/>
    </font>
    <font>
      <sz val="10"/>
      <color theme="0"/>
      <name val="Calibri"/>
      <family val="2"/>
      <scheme val="minor"/>
    </font>
    <font>
      <sz val="10"/>
      <color theme="6" tint="0.79998168889431442"/>
      <name val="Calibri"/>
      <family val="2"/>
      <scheme val="minor"/>
    </font>
    <font>
      <b/>
      <sz val="9"/>
      <color indexed="81"/>
      <name val="Tahoma"/>
      <family val="2"/>
    </font>
    <font>
      <sz val="9"/>
      <color indexed="81"/>
      <name val="Tahoma"/>
      <family val="2"/>
    </font>
    <font>
      <sz val="10"/>
      <color indexed="62"/>
      <name val="Calibri"/>
      <family val="2"/>
      <scheme val="minor"/>
    </font>
    <font>
      <b/>
      <sz val="10"/>
      <color indexed="62"/>
      <name val="Calibri"/>
      <family val="2"/>
      <scheme val="minor"/>
    </font>
    <font>
      <b/>
      <sz val="10"/>
      <color rgb="FFFF0000"/>
      <name val="Calibri"/>
      <family val="2"/>
      <scheme val="minor"/>
    </font>
    <font>
      <sz val="10"/>
      <color rgb="FFFF0000"/>
      <name val="Calibri"/>
      <family val="2"/>
      <scheme val="minor"/>
    </font>
    <font>
      <b/>
      <sz val="12"/>
      <color rgb="FFFF0000"/>
      <name val="Calibri"/>
      <family val="2"/>
      <scheme val="minor"/>
    </font>
    <font>
      <sz val="12"/>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18F8F"/>
        <bgColor indexed="64"/>
      </patternFill>
    </fill>
    <fill>
      <patternFill patternType="solid">
        <fgColor rgb="FFFBE1E1"/>
        <bgColor indexed="64"/>
      </patternFill>
    </fill>
    <fill>
      <patternFill patternType="solid">
        <fgColor rgb="FFFAF0F0"/>
        <bgColor indexed="64"/>
      </patternFill>
    </fill>
    <fill>
      <patternFill patternType="solid">
        <fgColor theme="5" tint="0.59999389629810485"/>
        <bgColor indexed="64"/>
      </patternFill>
    </fill>
    <fill>
      <patternFill patternType="solid">
        <fgColor rgb="FFF8EDEC"/>
        <bgColor indexed="64"/>
      </patternFill>
    </fill>
    <fill>
      <patternFill patternType="solid">
        <fgColor rgb="FFF6B8B8"/>
        <bgColor indexed="64"/>
      </patternFill>
    </fill>
    <fill>
      <patternFill patternType="solid">
        <fgColor theme="0" tint="-0.14999847407452621"/>
        <bgColor indexed="64"/>
      </patternFill>
    </fill>
  </fills>
  <borders count="7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right style="thin">
        <color auto="1"/>
      </right>
      <top style="thin">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medium">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thin">
        <color auto="1"/>
      </right>
      <top/>
      <bottom style="medium">
        <color indexed="64"/>
      </bottom>
      <diagonal/>
    </border>
    <border>
      <left/>
      <right style="medium">
        <color indexed="64"/>
      </right>
      <top/>
      <bottom style="thin">
        <color auto="1"/>
      </bottom>
      <diagonal/>
    </border>
    <border>
      <left/>
      <right style="thin">
        <color auto="1"/>
      </right>
      <top style="medium">
        <color auto="1"/>
      </top>
      <bottom style="medium">
        <color auto="1"/>
      </bottom>
      <diagonal/>
    </border>
    <border>
      <left/>
      <right style="medium">
        <color auto="1"/>
      </right>
      <top/>
      <bottom style="medium">
        <color auto="1"/>
      </bottom>
      <diagonal/>
    </border>
    <border>
      <left/>
      <right style="thin">
        <color indexed="64"/>
      </right>
      <top style="medium">
        <color auto="1"/>
      </top>
      <bottom style="thin">
        <color auto="1"/>
      </bottom>
      <diagonal/>
    </border>
    <border>
      <left/>
      <right style="thin">
        <color auto="1"/>
      </right>
      <top/>
      <bottom style="medium">
        <color auto="1"/>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right style="thin">
        <color auto="1"/>
      </right>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style="medium">
        <color indexed="64"/>
      </right>
      <top style="thin">
        <color auto="1"/>
      </top>
      <bottom style="medium">
        <color auto="1"/>
      </bottom>
      <diagonal/>
    </border>
    <border>
      <left style="medium">
        <color indexed="64"/>
      </left>
      <right/>
      <top/>
      <bottom style="medium">
        <color auto="1"/>
      </bottom>
      <diagonal/>
    </border>
    <border>
      <left style="thin">
        <color auto="1"/>
      </left>
      <right style="medium">
        <color indexed="64"/>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style="medium">
        <color indexed="64"/>
      </top>
      <bottom/>
      <diagonal/>
    </border>
    <border>
      <left style="medium">
        <color auto="1"/>
      </left>
      <right style="medium">
        <color auto="1"/>
      </right>
      <top/>
      <bottom/>
      <diagonal/>
    </border>
    <border>
      <left style="thin">
        <color auto="1"/>
      </left>
      <right style="medium">
        <color indexed="64"/>
      </right>
      <top style="thin">
        <color auto="1"/>
      </top>
      <bottom/>
      <diagonal/>
    </border>
    <border>
      <left style="thin">
        <color auto="1"/>
      </left>
      <right/>
      <top style="medium">
        <color indexed="64"/>
      </top>
      <bottom style="thin">
        <color auto="1"/>
      </bottom>
      <diagonal/>
    </border>
    <border>
      <left/>
      <right style="medium">
        <color auto="1"/>
      </right>
      <top style="medium">
        <color indexed="64"/>
      </top>
      <bottom style="thin">
        <color auto="1"/>
      </bottom>
      <diagonal/>
    </border>
    <border>
      <left style="medium">
        <color auto="1"/>
      </left>
      <right style="medium">
        <color auto="1"/>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thin">
        <color auto="1"/>
      </left>
      <right/>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auto="1"/>
      </left>
      <right/>
      <top style="medium">
        <color auto="1"/>
      </top>
      <bottom/>
      <diagonal/>
    </border>
    <border>
      <left style="thin">
        <color auto="1"/>
      </left>
      <right/>
      <top/>
      <bottom/>
      <diagonal/>
    </border>
    <border>
      <left style="medium">
        <color auto="1"/>
      </left>
      <right/>
      <top style="thin">
        <color auto="1"/>
      </top>
      <bottom/>
      <diagonal/>
    </border>
    <border>
      <left style="thin">
        <color auto="1"/>
      </left>
      <right/>
      <top/>
      <bottom style="medium">
        <color auto="1"/>
      </bottom>
      <diagonal/>
    </border>
  </borders>
  <cellStyleXfs count="17">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16" fillId="0" borderId="0"/>
    <xf numFmtId="166" fontId="3" fillId="0" borderId="0" applyFont="0" applyFill="0" applyBorder="0" applyAlignment="0" applyProtection="0"/>
    <xf numFmtId="168" fontId="3" fillId="0" borderId="0" applyFont="0" applyFill="0" applyBorder="0" applyAlignment="0" applyProtection="0"/>
    <xf numFmtId="44" fontId="3" fillId="0" borderId="0" applyFont="0" applyFill="0" applyBorder="0" applyAlignment="0" applyProtection="0"/>
  </cellStyleXfs>
  <cellXfs count="546">
    <xf numFmtId="0" fontId="0" fillId="0" borderId="0" xfId="0"/>
    <xf numFmtId="0" fontId="0" fillId="2" borderId="0" xfId="0" applyFill="1" applyAlignment="1">
      <alignment vertical="center"/>
    </xf>
    <xf numFmtId="0" fontId="3" fillId="2" borderId="0" xfId="0" applyFont="1" applyFill="1" applyAlignment="1">
      <alignment vertical="center"/>
    </xf>
    <xf numFmtId="0" fontId="3" fillId="2" borderId="0" xfId="0" applyFont="1" applyFill="1" applyAlignment="1">
      <alignment vertical="top" wrapText="1"/>
    </xf>
    <xf numFmtId="0" fontId="0" fillId="2" borderId="0" xfId="0" applyFill="1" applyAlignment="1">
      <alignment vertical="top" wrapText="1"/>
    </xf>
    <xf numFmtId="0" fontId="0" fillId="2" borderId="0" xfId="0" applyFill="1" applyAlignment="1">
      <alignment vertical="top"/>
    </xf>
    <xf numFmtId="0" fontId="11" fillId="2" borderId="0" xfId="0" applyFont="1" applyFill="1" applyAlignment="1">
      <alignment vertical="top" wrapText="1"/>
    </xf>
    <xf numFmtId="0" fontId="3" fillId="2" borderId="0" xfId="0" applyFont="1" applyFill="1" applyAlignment="1">
      <alignment vertical="center" wrapText="1"/>
    </xf>
    <xf numFmtId="0" fontId="14" fillId="2" borderId="0" xfId="0" applyFont="1" applyFill="1" applyAlignment="1">
      <alignment vertical="top" wrapText="1"/>
    </xf>
    <xf numFmtId="0" fontId="15" fillId="2" borderId="0" xfId="0" applyFont="1" applyFill="1" applyAlignment="1">
      <alignment vertical="top" wrapText="1"/>
    </xf>
    <xf numFmtId="0" fontId="13" fillId="2" borderId="0" xfId="0" applyFont="1" applyFill="1" applyAlignment="1">
      <alignment vertical="top"/>
    </xf>
    <xf numFmtId="0" fontId="13" fillId="2" borderId="0" xfId="0" applyFont="1" applyFill="1" applyAlignment="1">
      <alignment vertical="top" wrapText="1"/>
    </xf>
    <xf numFmtId="0" fontId="3" fillId="2" borderId="0" xfId="0" quotePrefix="1" applyFont="1" applyFill="1" applyAlignment="1">
      <alignment vertical="center" wrapText="1"/>
    </xf>
    <xf numFmtId="0" fontId="17" fillId="6" borderId="4" xfId="13" applyFont="1" applyFill="1" applyBorder="1" applyAlignment="1">
      <alignment horizontal="center" vertical="center" wrapText="1"/>
    </xf>
    <xf numFmtId="0" fontId="17" fillId="2" borderId="4" xfId="13" applyFont="1" applyFill="1" applyBorder="1" applyAlignment="1">
      <alignment horizontal="left" vertical="center" wrapText="1"/>
    </xf>
    <xf numFmtId="0" fontId="19" fillId="0" borderId="4" xfId="0" applyFont="1" applyBorder="1" applyAlignment="1">
      <alignment vertical="center"/>
    </xf>
    <xf numFmtId="0" fontId="19" fillId="0" borderId="4" xfId="0" applyFont="1" applyBorder="1" applyAlignment="1">
      <alignment vertical="center" wrapText="1"/>
    </xf>
    <xf numFmtId="0" fontId="17" fillId="6" borderId="4" xfId="13" applyFont="1" applyFill="1" applyBorder="1" applyAlignment="1">
      <alignment horizontal="left" vertical="center" wrapText="1"/>
    </xf>
    <xf numFmtId="0" fontId="0" fillId="6" borderId="4" xfId="0" applyFill="1" applyBorder="1"/>
    <xf numFmtId="0" fontId="17" fillId="2" borderId="5" xfId="13" applyFont="1" applyFill="1" applyBorder="1" applyAlignment="1">
      <alignment horizontal="left" vertical="center" wrapText="1"/>
    </xf>
    <xf numFmtId="0" fontId="17" fillId="2" borderId="5" xfId="13" applyFont="1" applyFill="1" applyBorder="1" applyAlignment="1">
      <alignment horizontal="center" vertical="center" wrapText="1"/>
    </xf>
    <xf numFmtId="0" fontId="8" fillId="5" borderId="1" xfId="0" applyFont="1" applyFill="1" applyBorder="1" applyAlignment="1">
      <alignment vertical="center"/>
    </xf>
    <xf numFmtId="0" fontId="8" fillId="5" borderId="2" xfId="0" applyFont="1" applyFill="1" applyBorder="1" applyAlignment="1">
      <alignment vertical="center"/>
    </xf>
    <xf numFmtId="0" fontId="9" fillId="3" borderId="4" xfId="0" applyFont="1" applyFill="1" applyBorder="1" applyAlignment="1">
      <alignment horizontal="center" vertical="center" wrapText="1"/>
    </xf>
    <xf numFmtId="0" fontId="18" fillId="6" borderId="5" xfId="13" applyFont="1" applyFill="1" applyBorder="1" applyAlignment="1">
      <alignment horizontal="left" vertical="center" wrapText="1"/>
    </xf>
    <xf numFmtId="0" fontId="18" fillId="6" borderId="4" xfId="13" applyFont="1" applyFill="1" applyBorder="1" applyAlignment="1">
      <alignment horizontal="left" vertical="center" wrapText="1"/>
    </xf>
    <xf numFmtId="0" fontId="18" fillId="6" borderId="4" xfId="13" applyFont="1" applyFill="1" applyBorder="1" applyAlignment="1">
      <alignment horizontal="center" vertical="center" wrapText="1"/>
    </xf>
    <xf numFmtId="0" fontId="8" fillId="5" borderId="3" xfId="0" applyFont="1" applyFill="1" applyBorder="1" applyAlignment="1">
      <alignment horizontal="center" vertical="center"/>
    </xf>
    <xf numFmtId="0" fontId="7" fillId="0" borderId="4" xfId="0" applyFont="1" applyBorder="1" applyAlignment="1">
      <alignment horizontal="center" vertical="center"/>
    </xf>
    <xf numFmtId="0" fontId="20" fillId="2" borderId="0" xfId="0" applyFont="1" applyFill="1" applyAlignment="1">
      <alignment horizontal="center" vertical="top" wrapText="1"/>
    </xf>
    <xf numFmtId="0" fontId="0" fillId="2" borderId="0" xfId="0" applyFill="1"/>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0" fillId="2" borderId="0" xfId="0" applyFill="1" applyAlignment="1">
      <alignment horizontal="center" vertical="center"/>
    </xf>
    <xf numFmtId="0" fontId="0" fillId="2" borderId="14" xfId="0" applyFill="1" applyBorder="1" applyAlignment="1">
      <alignment horizontal="center" vertical="center"/>
    </xf>
    <xf numFmtId="0" fontId="0" fillId="2" borderId="24" xfId="0" applyFill="1" applyBorder="1" applyAlignment="1">
      <alignment horizontal="center" vertical="center"/>
    </xf>
    <xf numFmtId="0" fontId="3" fillId="2" borderId="4" xfId="0" applyFont="1" applyFill="1" applyBorder="1" applyAlignment="1">
      <alignment horizontal="center" vertical="center"/>
    </xf>
    <xf numFmtId="0" fontId="21" fillId="2" borderId="0" xfId="0" applyFont="1" applyFill="1" applyAlignment="1">
      <alignment vertical="center" wrapText="1"/>
    </xf>
    <xf numFmtId="0" fontId="21" fillId="2" borderId="0" xfId="0" applyFont="1" applyFill="1" applyAlignment="1">
      <alignment vertical="center"/>
    </xf>
    <xf numFmtId="0" fontId="21" fillId="2" borderId="0" xfId="0" applyFont="1" applyFill="1" applyAlignment="1">
      <alignment horizontal="left" vertical="center"/>
    </xf>
    <xf numFmtId="0" fontId="23" fillId="2" borderId="0" xfId="10" applyFont="1" applyFill="1" applyAlignment="1">
      <alignment wrapText="1"/>
    </xf>
    <xf numFmtId="0" fontId="24" fillId="3" borderId="22" xfId="10" applyFont="1" applyFill="1" applyBorder="1" applyAlignment="1">
      <alignment horizontal="center" vertical="center" wrapText="1"/>
    </xf>
    <xf numFmtId="1" fontId="22" fillId="2" borderId="9" xfId="10" applyNumberFormat="1" applyFont="1" applyFill="1" applyBorder="1" applyAlignment="1">
      <alignment horizontal="center" vertical="center" wrapText="1"/>
    </xf>
    <xf numFmtId="0" fontId="23" fillId="7" borderId="5" xfId="10" applyFont="1" applyFill="1" applyBorder="1" applyAlignment="1">
      <alignment horizontal="center" vertical="center"/>
    </xf>
    <xf numFmtId="0" fontId="23" fillId="4" borderId="31" xfId="10" applyFont="1" applyFill="1" applyBorder="1" applyAlignment="1">
      <alignment horizontal="center" vertical="center"/>
    </xf>
    <xf numFmtId="0" fontId="23" fillId="7" borderId="45" xfId="10" applyFont="1" applyFill="1" applyBorder="1" applyAlignment="1">
      <alignment horizontal="center" vertical="center"/>
    </xf>
    <xf numFmtId="0" fontId="23" fillId="8" borderId="9" xfId="10" applyFont="1" applyFill="1" applyBorder="1" applyAlignment="1">
      <alignment horizontal="center" vertical="center"/>
    </xf>
    <xf numFmtId="0" fontId="21" fillId="8" borderId="10" xfId="9" applyNumberFormat="1" applyFont="1" applyFill="1" applyBorder="1" applyAlignment="1" applyProtection="1">
      <alignment horizontal="center" vertical="center"/>
    </xf>
    <xf numFmtId="0" fontId="25" fillId="8" borderId="10" xfId="10" applyFont="1" applyFill="1" applyBorder="1" applyAlignment="1">
      <alignment vertical="center"/>
    </xf>
    <xf numFmtId="1" fontId="21" fillId="8" borderId="9" xfId="9" applyNumberFormat="1" applyFont="1" applyFill="1" applyBorder="1" applyAlignment="1" applyProtection="1">
      <alignment horizontal="center" vertical="center"/>
    </xf>
    <xf numFmtId="0" fontId="21" fillId="8" borderId="20" xfId="9" applyNumberFormat="1" applyFont="1" applyFill="1" applyBorder="1" applyAlignment="1" applyProtection="1">
      <alignment horizontal="center" vertical="center"/>
    </xf>
    <xf numFmtId="0" fontId="23" fillId="8" borderId="36" xfId="10" applyFont="1" applyFill="1" applyBorder="1" applyAlignment="1">
      <alignment horizontal="center" vertical="center"/>
    </xf>
    <xf numFmtId="0" fontId="24" fillId="3" borderId="18" xfId="0" applyFont="1" applyFill="1" applyBorder="1" applyAlignment="1">
      <alignment vertical="center"/>
    </xf>
    <xf numFmtId="0" fontId="24" fillId="3" borderId="38" xfId="0" applyFont="1" applyFill="1" applyBorder="1" applyAlignment="1">
      <alignment horizontal="center" vertical="center"/>
    </xf>
    <xf numFmtId="0" fontId="24" fillId="3" borderId="18" xfId="0" applyFont="1" applyFill="1" applyBorder="1" applyAlignment="1">
      <alignment horizontal="center" vertical="center"/>
    </xf>
    <xf numFmtId="165" fontId="24" fillId="3" borderId="18" xfId="0" applyNumberFormat="1" applyFont="1" applyFill="1" applyBorder="1" applyAlignment="1">
      <alignment horizontal="center" vertical="center"/>
    </xf>
    <xf numFmtId="1" fontId="24" fillId="3" borderId="32" xfId="0" applyNumberFormat="1" applyFont="1" applyFill="1" applyBorder="1" applyAlignment="1">
      <alignment horizontal="center" vertical="center"/>
    </xf>
    <xf numFmtId="0" fontId="21" fillId="2" borderId="0" xfId="0" applyFont="1" applyFill="1" applyAlignment="1">
      <alignment horizontal="right" vertical="center"/>
    </xf>
    <xf numFmtId="1" fontId="21" fillId="8" borderId="48" xfId="12" applyNumberFormat="1" applyFont="1" applyFill="1" applyBorder="1" applyAlignment="1" applyProtection="1">
      <alignment horizontal="center" vertical="center"/>
    </xf>
    <xf numFmtId="165" fontId="21" fillId="4" borderId="44" xfId="12" applyNumberFormat="1" applyFont="1" applyFill="1" applyBorder="1" applyAlignment="1" applyProtection="1">
      <alignment horizontal="center" vertical="center"/>
    </xf>
    <xf numFmtId="0" fontId="26" fillId="7" borderId="37" xfId="10" applyFont="1" applyFill="1" applyBorder="1" applyAlignment="1">
      <alignment horizontal="center" vertical="center"/>
    </xf>
    <xf numFmtId="0" fontId="25" fillId="2" borderId="30" xfId="10" applyFont="1" applyFill="1" applyBorder="1" applyAlignment="1" applyProtection="1">
      <alignment vertical="center"/>
      <protection locked="0"/>
    </xf>
    <xf numFmtId="1" fontId="21" fillId="0" borderId="22" xfId="9" applyNumberFormat="1" applyFont="1" applyBorder="1" applyAlignment="1" applyProtection="1">
      <alignment horizontal="center" vertical="center"/>
      <protection locked="0"/>
    </xf>
    <xf numFmtId="0" fontId="23" fillId="2" borderId="22" xfId="10" applyFont="1" applyFill="1" applyBorder="1" applyAlignment="1" applyProtection="1">
      <alignment horizontal="center" vertical="center"/>
      <protection locked="0"/>
    </xf>
    <xf numFmtId="0" fontId="25" fillId="2" borderId="4" xfId="10" applyFont="1" applyFill="1" applyBorder="1" applyAlignment="1" applyProtection="1">
      <alignment vertical="center"/>
      <protection locked="0"/>
    </xf>
    <xf numFmtId="1" fontId="21" fillId="0" borderId="4" xfId="9" applyNumberFormat="1" applyFont="1" applyBorder="1" applyAlignment="1" applyProtection="1">
      <alignment horizontal="center" vertical="center"/>
      <protection locked="0"/>
    </xf>
    <xf numFmtId="0" fontId="23" fillId="2" borderId="4" xfId="10" applyFont="1" applyFill="1" applyBorder="1" applyAlignment="1" applyProtection="1">
      <alignment horizontal="center" vertical="center"/>
      <protection locked="0"/>
    </xf>
    <xf numFmtId="0" fontId="25" fillId="2" borderId="21" xfId="10" applyFont="1" applyFill="1" applyBorder="1" applyAlignment="1" applyProtection="1">
      <alignment vertical="center"/>
      <protection locked="0"/>
    </xf>
    <xf numFmtId="0" fontId="23" fillId="0" borderId="21" xfId="10" applyFont="1" applyBorder="1" applyAlignment="1" applyProtection="1">
      <alignment horizontal="center" vertical="center"/>
      <protection locked="0"/>
    </xf>
    <xf numFmtId="0" fontId="21" fillId="0" borderId="7" xfId="9" applyNumberFormat="1" applyFont="1" applyBorder="1" applyAlignment="1" applyProtection="1">
      <alignment horizontal="center" vertical="center"/>
      <protection locked="0"/>
    </xf>
    <xf numFmtId="0" fontId="24" fillId="3" borderId="18" xfId="0" applyFont="1" applyFill="1" applyBorder="1" applyAlignment="1">
      <alignment horizontal="left" vertical="center"/>
    </xf>
    <xf numFmtId="0" fontId="23" fillId="0" borderId="40" xfId="10" applyFont="1" applyBorder="1" applyAlignment="1" applyProtection="1">
      <alignment horizontal="center" vertical="center"/>
      <protection locked="0"/>
    </xf>
    <xf numFmtId="0" fontId="23" fillId="0" borderId="45" xfId="10" applyFont="1" applyBorder="1" applyAlignment="1" applyProtection="1">
      <alignment horizontal="center" vertical="center"/>
      <protection locked="0"/>
    </xf>
    <xf numFmtId="0" fontId="23" fillId="0" borderId="2" xfId="10" applyFont="1" applyBorder="1" applyAlignment="1" applyProtection="1">
      <alignment horizontal="center" vertical="center"/>
      <protection locked="0"/>
    </xf>
    <xf numFmtId="0" fontId="23" fillId="0" borderId="47" xfId="10" applyFont="1" applyBorder="1" applyAlignment="1" applyProtection="1">
      <alignment horizontal="center" vertical="center"/>
      <protection locked="0"/>
    </xf>
    <xf numFmtId="165" fontId="22" fillId="2" borderId="36" xfId="10" applyNumberFormat="1" applyFont="1" applyFill="1" applyBorder="1" applyAlignment="1">
      <alignment horizontal="center" vertical="center" wrapText="1"/>
    </xf>
    <xf numFmtId="0" fontId="26" fillId="0" borderId="30" xfId="10" applyFont="1" applyBorder="1" applyAlignment="1" applyProtection="1">
      <alignment horizontal="center" vertical="center"/>
      <protection locked="0"/>
    </xf>
    <xf numFmtId="0" fontId="26" fillId="0" borderId="21" xfId="10" applyFont="1" applyBorder="1" applyAlignment="1" applyProtection="1">
      <alignment horizontal="center" vertical="center"/>
      <protection locked="0"/>
    </xf>
    <xf numFmtId="0" fontId="23" fillId="8" borderId="16" xfId="10" applyFont="1" applyFill="1" applyBorder="1" applyAlignment="1">
      <alignment horizontal="center" vertical="center"/>
    </xf>
    <xf numFmtId="0" fontId="10" fillId="3" borderId="29" xfId="10" applyFont="1" applyFill="1" applyBorder="1" applyAlignment="1">
      <alignment horizontal="center" vertical="center" wrapText="1"/>
    </xf>
    <xf numFmtId="1" fontId="22" fillId="2" borderId="16" xfId="10" applyNumberFormat="1" applyFont="1" applyFill="1" applyBorder="1" applyAlignment="1">
      <alignment horizontal="center" vertical="center" wrapText="1"/>
    </xf>
    <xf numFmtId="0" fontId="24" fillId="3" borderId="11" xfId="0" applyFont="1" applyFill="1" applyBorder="1" applyAlignment="1">
      <alignment horizontal="center" vertical="center"/>
    </xf>
    <xf numFmtId="0" fontId="23" fillId="0" borderId="3" xfId="10" applyFont="1" applyBorder="1" applyAlignment="1" applyProtection="1">
      <alignment horizontal="center" vertical="center"/>
      <protection locked="0"/>
    </xf>
    <xf numFmtId="165" fontId="23" fillId="8" borderId="10" xfId="10" applyNumberFormat="1" applyFont="1" applyFill="1" applyBorder="1" applyAlignment="1">
      <alignment horizontal="center" vertical="center"/>
    </xf>
    <xf numFmtId="165" fontId="26" fillId="8" borderId="9" xfId="10" applyNumberFormat="1" applyFont="1" applyFill="1" applyBorder="1" applyAlignment="1">
      <alignment horizontal="center" vertical="center"/>
    </xf>
    <xf numFmtId="165" fontId="24" fillId="3" borderId="12" xfId="0" applyNumberFormat="1" applyFont="1" applyFill="1" applyBorder="1" applyAlignment="1">
      <alignment horizontal="center" vertical="center"/>
    </xf>
    <xf numFmtId="0" fontId="25" fillId="2" borderId="15" xfId="10" applyFont="1" applyFill="1" applyBorder="1" applyAlignment="1" applyProtection="1">
      <alignment vertical="center"/>
      <protection locked="0"/>
    </xf>
    <xf numFmtId="0" fontId="25" fillId="2" borderId="14" xfId="10" applyFont="1" applyFill="1" applyBorder="1" applyAlignment="1" applyProtection="1">
      <alignment vertical="center"/>
      <protection locked="0"/>
    </xf>
    <xf numFmtId="0" fontId="21" fillId="0" borderId="50" xfId="9" applyNumberFormat="1" applyFont="1" applyBorder="1" applyAlignment="1" applyProtection="1">
      <alignment horizontal="center" vertical="center"/>
      <protection locked="0"/>
    </xf>
    <xf numFmtId="0" fontId="21" fillId="8" borderId="8" xfId="9" applyNumberFormat="1" applyFont="1" applyFill="1" applyBorder="1" applyAlignment="1" applyProtection="1">
      <alignment horizontal="center" vertical="center"/>
    </xf>
    <xf numFmtId="0" fontId="24" fillId="3" borderId="27" xfId="10" applyFont="1" applyFill="1" applyBorder="1" applyAlignment="1">
      <alignment horizontal="center" vertical="center" wrapText="1"/>
    </xf>
    <xf numFmtId="0" fontId="24" fillId="3" borderId="52" xfId="10" applyFont="1" applyFill="1" applyBorder="1" applyAlignment="1">
      <alignment horizontal="center" vertical="center" wrapText="1"/>
    </xf>
    <xf numFmtId="0" fontId="23" fillId="2" borderId="1" xfId="10" applyFont="1" applyFill="1" applyBorder="1" applyAlignment="1">
      <alignment horizontal="left" vertical="center"/>
    </xf>
    <xf numFmtId="0" fontId="23" fillId="2" borderId="2" xfId="10" applyFont="1" applyFill="1" applyBorder="1" applyAlignment="1">
      <alignment horizontal="left" vertical="center"/>
    </xf>
    <xf numFmtId="0" fontId="23" fillId="2" borderId="6" xfId="10" applyFont="1" applyFill="1" applyBorder="1" applyAlignment="1" applyProtection="1">
      <alignment horizontal="center" vertical="center" wrapText="1"/>
      <protection locked="0"/>
    </xf>
    <xf numFmtId="0" fontId="23" fillId="2" borderId="7" xfId="10" applyFont="1" applyFill="1" applyBorder="1" applyAlignment="1" applyProtection="1">
      <alignment horizontal="center" vertical="center" wrapText="1"/>
      <protection locked="0"/>
    </xf>
    <xf numFmtId="0" fontId="23" fillId="2" borderId="13" xfId="10" applyFont="1" applyFill="1" applyBorder="1" applyAlignment="1" applyProtection="1">
      <alignment horizontal="center" vertical="center" wrapText="1"/>
      <protection locked="0"/>
    </xf>
    <xf numFmtId="0" fontId="23" fillId="8" borderId="8" xfId="10" applyFont="1" applyFill="1" applyBorder="1" applyAlignment="1">
      <alignment horizontal="center" vertical="center" wrapText="1"/>
    </xf>
    <xf numFmtId="0" fontId="25" fillId="2" borderId="22" xfId="10" applyFont="1" applyFill="1" applyBorder="1" applyAlignment="1" applyProtection="1">
      <alignment vertical="center"/>
      <protection locked="0"/>
    </xf>
    <xf numFmtId="0" fontId="23" fillId="0" borderId="60" xfId="10" applyFont="1" applyBorder="1" applyAlignment="1" applyProtection="1">
      <alignment horizontal="center" vertical="center"/>
      <protection locked="0"/>
    </xf>
    <xf numFmtId="0" fontId="23" fillId="7" borderId="40" xfId="10" applyFont="1" applyFill="1" applyBorder="1" applyAlignment="1">
      <alignment horizontal="center" vertical="center"/>
    </xf>
    <xf numFmtId="0" fontId="23" fillId="0" borderId="30" xfId="10" applyFont="1" applyBorder="1" applyAlignment="1" applyProtection="1">
      <alignment horizontal="center" vertical="center"/>
      <protection locked="0"/>
    </xf>
    <xf numFmtId="0" fontId="23" fillId="7" borderId="22" xfId="10" applyFont="1" applyFill="1" applyBorder="1" applyAlignment="1">
      <alignment horizontal="center" vertical="center"/>
    </xf>
    <xf numFmtId="0" fontId="26" fillId="7" borderId="61" xfId="10" applyFont="1" applyFill="1" applyBorder="1" applyAlignment="1">
      <alignment horizontal="center" vertical="center"/>
    </xf>
    <xf numFmtId="165" fontId="21" fillId="4" borderId="62" xfId="12" applyNumberFormat="1" applyFont="1" applyFill="1" applyBorder="1" applyAlignment="1" applyProtection="1">
      <alignment horizontal="center" vertical="center"/>
    </xf>
    <xf numFmtId="0" fontId="23" fillId="4" borderId="61" xfId="10" applyFont="1" applyFill="1" applyBorder="1" applyAlignment="1">
      <alignment horizontal="center" vertical="center"/>
    </xf>
    <xf numFmtId="0" fontId="21" fillId="8" borderId="23" xfId="9" applyNumberFormat="1" applyFont="1" applyFill="1" applyBorder="1" applyAlignment="1" applyProtection="1">
      <alignment horizontal="center" vertical="center"/>
    </xf>
    <xf numFmtId="0" fontId="21" fillId="8" borderId="39" xfId="9" applyNumberFormat="1" applyFont="1" applyFill="1" applyBorder="1" applyAlignment="1" applyProtection="1">
      <alignment horizontal="left" vertical="center"/>
    </xf>
    <xf numFmtId="0" fontId="23" fillId="8" borderId="41" xfId="10" applyFont="1" applyFill="1" applyBorder="1" applyAlignment="1">
      <alignment horizontal="center" vertical="center"/>
    </xf>
    <xf numFmtId="0" fontId="26" fillId="8" borderId="56" xfId="10" applyFont="1" applyFill="1" applyBorder="1" applyAlignment="1">
      <alignment horizontal="center" vertical="center"/>
    </xf>
    <xf numFmtId="0" fontId="23" fillId="8" borderId="10" xfId="10" applyFont="1" applyFill="1" applyBorder="1" applyAlignment="1">
      <alignment horizontal="left" vertical="center"/>
    </xf>
    <xf numFmtId="0" fontId="23" fillId="8" borderId="23" xfId="10" applyFont="1" applyFill="1" applyBorder="1" applyAlignment="1">
      <alignment horizontal="left" vertical="center"/>
    </xf>
    <xf numFmtId="0" fontId="23" fillId="8" borderId="16" xfId="10" applyFont="1" applyFill="1" applyBorder="1" applyAlignment="1">
      <alignment horizontal="left" vertical="center"/>
    </xf>
    <xf numFmtId="165" fontId="21" fillId="8" borderId="63" xfId="12" applyNumberFormat="1" applyFont="1" applyFill="1" applyBorder="1" applyAlignment="1" applyProtection="1">
      <alignment horizontal="center" vertical="center"/>
    </xf>
    <xf numFmtId="0" fontId="25" fillId="8" borderId="16" xfId="10" applyFont="1" applyFill="1" applyBorder="1" applyAlignment="1">
      <alignment vertical="center"/>
    </xf>
    <xf numFmtId="0" fontId="26" fillId="8" borderId="51" xfId="10" applyFont="1" applyFill="1" applyBorder="1" applyAlignment="1">
      <alignment horizontal="center" vertical="center"/>
    </xf>
    <xf numFmtId="0" fontId="23" fillId="8" borderId="41" xfId="10" applyFont="1" applyFill="1" applyBorder="1" applyAlignment="1">
      <alignment horizontal="left" vertical="center"/>
    </xf>
    <xf numFmtId="1" fontId="24" fillId="3" borderId="12" xfId="0" applyNumberFormat="1" applyFont="1" applyFill="1" applyBorder="1" applyAlignment="1">
      <alignment horizontal="center" vertical="center"/>
    </xf>
    <xf numFmtId="0" fontId="24" fillId="3" borderId="60" xfId="10" applyFont="1" applyFill="1" applyBorder="1" applyAlignment="1">
      <alignment horizontal="center" vertical="center" wrapText="1"/>
    </xf>
    <xf numFmtId="1" fontId="22" fillId="2" borderId="10" xfId="10" applyNumberFormat="1" applyFont="1" applyFill="1" applyBorder="1" applyAlignment="1">
      <alignment horizontal="center" vertical="center" wrapText="1"/>
    </xf>
    <xf numFmtId="0" fontId="7" fillId="2" borderId="0" xfId="0" applyFont="1" applyFill="1" applyAlignment="1">
      <alignment vertical="center"/>
    </xf>
    <xf numFmtId="0" fontId="7" fillId="2" borderId="0" xfId="0" applyFont="1" applyFill="1" applyAlignment="1">
      <alignment horizontal="center" vertical="center"/>
    </xf>
    <xf numFmtId="167" fontId="7" fillId="2" borderId="0" xfId="14" applyNumberFormat="1" applyFont="1" applyFill="1" applyAlignment="1" applyProtection="1">
      <alignment vertical="center"/>
    </xf>
    <xf numFmtId="167" fontId="7" fillId="2" borderId="0" xfId="14" applyNumberFormat="1" applyFont="1" applyFill="1" applyAlignment="1" applyProtection="1">
      <alignment horizontal="center" vertical="center"/>
    </xf>
    <xf numFmtId="0" fontId="7" fillId="0" borderId="0" xfId="0" applyFont="1" applyAlignment="1">
      <alignment vertical="center"/>
    </xf>
    <xf numFmtId="0" fontId="8" fillId="2" borderId="0" xfId="0" applyFont="1" applyFill="1" applyAlignment="1">
      <alignment horizontal="right" vertical="center"/>
    </xf>
    <xf numFmtId="0" fontId="8" fillId="2" borderId="0" xfId="0" applyFont="1" applyFill="1" applyAlignment="1">
      <alignment horizontal="center" vertical="center"/>
    </xf>
    <xf numFmtId="0" fontId="7" fillId="9" borderId="4" xfId="0" applyFont="1" applyFill="1" applyBorder="1" applyAlignment="1" applyProtection="1">
      <alignment horizontal="center" vertical="center"/>
      <protection locked="0"/>
    </xf>
    <xf numFmtId="0" fontId="7" fillId="9" borderId="4" xfId="15" applyNumberFormat="1" applyFont="1" applyFill="1" applyBorder="1" applyAlignment="1" applyProtection="1">
      <alignment horizontal="center" vertical="center"/>
    </xf>
    <xf numFmtId="0" fontId="8" fillId="2" borderId="0" xfId="0" applyFont="1" applyFill="1" applyAlignment="1">
      <alignment horizontal="left" vertical="center"/>
    </xf>
    <xf numFmtId="0" fontId="7" fillId="9" borderId="4" xfId="15" applyNumberFormat="1"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8" fillId="2" borderId="0" xfId="0" applyFont="1" applyFill="1" applyAlignment="1">
      <alignment vertical="center"/>
    </xf>
    <xf numFmtId="169" fontId="8" fillId="2" borderId="4" xfId="0" applyNumberFormat="1" applyFont="1" applyFill="1" applyBorder="1" applyAlignment="1">
      <alignment vertical="center"/>
    </xf>
    <xf numFmtId="0" fontId="7" fillId="2" borderId="3" xfId="0" applyFont="1" applyFill="1" applyBorder="1" applyAlignment="1">
      <alignment vertical="center"/>
    </xf>
    <xf numFmtId="0" fontId="7" fillId="2" borderId="2" xfId="0" applyFont="1" applyFill="1" applyBorder="1" applyAlignment="1" applyProtection="1">
      <alignment horizontal="right" vertical="center"/>
      <protection locked="0"/>
    </xf>
    <xf numFmtId="0" fontId="7" fillId="2" borderId="2" xfId="0" applyFont="1" applyFill="1" applyBorder="1" applyAlignment="1">
      <alignment horizontal="right" vertical="center"/>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2" xfId="0" applyFont="1" applyFill="1" applyBorder="1" applyAlignment="1">
      <alignment horizontal="center" vertical="center"/>
    </xf>
    <xf numFmtId="0" fontId="27" fillId="2" borderId="0" xfId="0" applyFont="1" applyFill="1" applyAlignment="1">
      <alignment vertical="center"/>
    </xf>
    <xf numFmtId="0" fontId="7" fillId="2" borderId="16" xfId="0" applyFont="1" applyFill="1" applyBorder="1" applyAlignment="1">
      <alignment horizontal="center" vertical="center"/>
    </xf>
    <xf numFmtId="169" fontId="7" fillId="9" borderId="4" xfId="0" applyNumberFormat="1" applyFont="1" applyFill="1" applyBorder="1" applyAlignment="1" applyProtection="1">
      <alignment vertical="center"/>
      <protection locked="0"/>
    </xf>
    <xf numFmtId="0" fontId="7" fillId="2" borderId="4" xfId="0" applyFont="1" applyFill="1" applyBorder="1" applyAlignment="1">
      <alignment horizontal="center" vertical="center"/>
    </xf>
    <xf numFmtId="169" fontId="7" fillId="2" borderId="4" xfId="0" applyNumberFormat="1" applyFont="1" applyFill="1" applyBorder="1" applyAlignment="1">
      <alignment vertical="center"/>
    </xf>
    <xf numFmtId="169" fontId="7" fillId="11" borderId="3" xfId="0" applyNumberFormat="1" applyFont="1" applyFill="1" applyBorder="1" applyAlignment="1">
      <alignment vertical="center"/>
    </xf>
    <xf numFmtId="169" fontId="7" fillId="11" borderId="10" xfId="0" applyNumberFormat="1" applyFont="1" applyFill="1" applyBorder="1" applyAlignment="1">
      <alignment vertical="center"/>
    </xf>
    <xf numFmtId="169" fontId="7" fillId="11" borderId="16" xfId="0" applyNumberFormat="1" applyFont="1" applyFill="1" applyBorder="1" applyAlignment="1">
      <alignment vertical="center"/>
    </xf>
    <xf numFmtId="169" fontId="7" fillId="11" borderId="48" xfId="0" applyNumberFormat="1" applyFont="1" applyFill="1" applyBorder="1" applyAlignment="1">
      <alignment horizontal="center" vertical="center"/>
    </xf>
    <xf numFmtId="0" fontId="7" fillId="2" borderId="7" xfId="0" applyFont="1" applyFill="1" applyBorder="1" applyAlignment="1">
      <alignment vertical="center"/>
    </xf>
    <xf numFmtId="0" fontId="7" fillId="9" borderId="4" xfId="0" applyFont="1" applyFill="1" applyBorder="1" applyAlignment="1" applyProtection="1">
      <alignment vertical="center"/>
      <protection locked="0"/>
    </xf>
    <xf numFmtId="9" fontId="7" fillId="9" borderId="4" xfId="12" applyFont="1" applyFill="1" applyBorder="1" applyAlignment="1" applyProtection="1">
      <alignment horizontal="center" vertical="center"/>
      <protection locked="0"/>
    </xf>
    <xf numFmtId="0" fontId="7" fillId="2" borderId="28" xfId="0" applyFont="1" applyFill="1" applyBorder="1" applyAlignment="1">
      <alignment vertical="center"/>
    </xf>
    <xf numFmtId="0" fontId="7" fillId="9" borderId="21" xfId="0" applyFont="1" applyFill="1" applyBorder="1" applyAlignment="1" applyProtection="1">
      <alignment vertical="center"/>
      <protection locked="0"/>
    </xf>
    <xf numFmtId="169" fontId="7" fillId="9" borderId="21" xfId="0" applyNumberFormat="1" applyFont="1" applyFill="1" applyBorder="1" applyAlignment="1" applyProtection="1">
      <alignment vertical="center"/>
      <protection locked="0"/>
    </xf>
    <xf numFmtId="0" fontId="8" fillId="2" borderId="36" xfId="0" applyFont="1" applyFill="1" applyBorder="1" applyAlignment="1">
      <alignment horizontal="center" vertical="center"/>
    </xf>
    <xf numFmtId="0" fontId="8" fillId="2" borderId="16" xfId="0" applyFont="1" applyFill="1" applyBorder="1" applyAlignment="1">
      <alignment vertical="center"/>
    </xf>
    <xf numFmtId="169" fontId="8" fillId="2" borderId="36" xfId="0" applyNumberFormat="1" applyFont="1" applyFill="1" applyBorder="1" applyAlignment="1">
      <alignment vertical="center"/>
    </xf>
    <xf numFmtId="169" fontId="8" fillId="2" borderId="9" xfId="0" applyNumberFormat="1" applyFont="1" applyFill="1" applyBorder="1" applyAlignment="1">
      <alignment vertical="center"/>
    </xf>
    <xf numFmtId="169" fontId="8" fillId="2" borderId="0" xfId="0" applyNumberFormat="1" applyFont="1" applyFill="1" applyAlignment="1">
      <alignment vertical="center"/>
    </xf>
    <xf numFmtId="0" fontId="9" fillId="3" borderId="30" xfId="0" applyFont="1" applyFill="1" applyBorder="1" applyAlignment="1">
      <alignment horizontal="center" vertical="center" wrapText="1"/>
    </xf>
    <xf numFmtId="169" fontId="8" fillId="0" borderId="9" xfId="0" applyNumberFormat="1" applyFont="1" applyBorder="1" applyAlignment="1">
      <alignment vertical="center"/>
    </xf>
    <xf numFmtId="0" fontId="7" fillId="0" borderId="0" xfId="0" applyFont="1" applyAlignment="1">
      <alignment horizontal="center" vertical="center"/>
    </xf>
    <xf numFmtId="167" fontId="7" fillId="0" borderId="0" xfId="14" applyNumberFormat="1" applyFont="1" applyAlignment="1" applyProtection="1">
      <alignment vertical="center"/>
    </xf>
    <xf numFmtId="167" fontId="7" fillId="0" borderId="0" xfId="14" applyNumberFormat="1" applyFont="1" applyAlignment="1" applyProtection="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15" applyNumberFormat="1" applyFont="1" applyFill="1" applyBorder="1" applyAlignment="1" applyProtection="1">
      <alignment horizontal="center" vertical="center"/>
    </xf>
    <xf numFmtId="0" fontId="8" fillId="0" borderId="0" xfId="0" applyFont="1" applyAlignment="1">
      <alignment vertical="center"/>
    </xf>
    <xf numFmtId="0" fontId="7" fillId="2" borderId="0" xfId="0" applyFont="1" applyFill="1" applyAlignment="1">
      <alignment horizontal="left" vertical="center"/>
    </xf>
    <xf numFmtId="0" fontId="31" fillId="0" borderId="0" xfId="0" applyFont="1" applyAlignment="1">
      <alignment vertical="center"/>
    </xf>
    <xf numFmtId="0" fontId="32" fillId="0" borderId="0" xfId="0" applyFont="1" applyAlignment="1">
      <alignment horizontal="right" vertical="center" wrapText="1"/>
    </xf>
    <xf numFmtId="170" fontId="31" fillId="0" borderId="0" xfId="15" applyNumberFormat="1" applyFont="1" applyFill="1" applyBorder="1" applyAlignment="1" applyProtection="1">
      <alignment horizontal="center" vertical="center"/>
    </xf>
    <xf numFmtId="164" fontId="31" fillId="0" borderId="0" xfId="0" applyNumberFormat="1" applyFont="1" applyAlignment="1">
      <alignment horizontal="right" vertical="center"/>
    </xf>
    <xf numFmtId="171" fontId="7" fillId="2" borderId="0" xfId="0" applyNumberFormat="1" applyFont="1" applyFill="1" applyAlignment="1">
      <alignment horizontal="center" vertical="center"/>
    </xf>
    <xf numFmtId="0" fontId="9" fillId="3" borderId="19" xfId="0" applyFont="1" applyFill="1" applyBorder="1" applyAlignment="1">
      <alignment vertical="center"/>
    </xf>
    <xf numFmtId="0" fontId="9" fillId="3" borderId="18" xfId="0" applyFont="1" applyFill="1" applyBorder="1" applyAlignment="1">
      <alignment vertical="center"/>
    </xf>
    <xf numFmtId="0" fontId="9" fillId="3" borderId="34" xfId="0" applyFont="1" applyFill="1" applyBorder="1" applyAlignment="1">
      <alignment vertical="center"/>
    </xf>
    <xf numFmtId="0" fontId="9" fillId="2" borderId="19"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34"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30" xfId="0" applyFont="1" applyFill="1" applyBorder="1" applyAlignment="1">
      <alignment horizontal="center" vertical="center" wrapText="1"/>
    </xf>
    <xf numFmtId="167" fontId="8" fillId="2" borderId="30" xfId="14" applyNumberFormat="1" applyFont="1" applyFill="1" applyBorder="1" applyAlignment="1" applyProtection="1">
      <alignment horizontal="center" vertical="center" wrapText="1"/>
    </xf>
    <xf numFmtId="167" fontId="8" fillId="2" borderId="12" xfId="14" applyNumberFormat="1" applyFont="1" applyFill="1" applyBorder="1" applyAlignment="1" applyProtection="1">
      <alignment horizontal="center" vertical="center" wrapText="1"/>
    </xf>
    <xf numFmtId="167" fontId="8" fillId="2" borderId="34" xfId="14" applyNumberFormat="1" applyFont="1" applyFill="1" applyBorder="1" applyAlignment="1" applyProtection="1">
      <alignment horizontal="center" vertical="center" wrapText="1"/>
    </xf>
    <xf numFmtId="167" fontId="8" fillId="2" borderId="25" xfId="14" applyNumberFormat="1" applyFont="1" applyFill="1" applyBorder="1" applyAlignment="1" applyProtection="1">
      <alignment horizontal="center" vertical="center" wrapText="1"/>
      <protection locked="0"/>
    </xf>
    <xf numFmtId="167" fontId="8" fillId="2" borderId="12" xfId="14" applyNumberFormat="1" applyFont="1" applyFill="1" applyBorder="1" applyAlignment="1" applyProtection="1">
      <alignment horizontal="center" vertical="center" wrapText="1"/>
      <protection locked="0"/>
    </xf>
    <xf numFmtId="167" fontId="8" fillId="2" borderId="15" xfId="14" applyNumberFormat="1" applyFont="1" applyFill="1" applyBorder="1" applyAlignment="1" applyProtection="1">
      <alignment horizontal="center" vertical="center" wrapText="1"/>
      <protection locked="0"/>
    </xf>
    <xf numFmtId="167" fontId="8" fillId="2" borderId="32" xfId="14" applyNumberFormat="1" applyFont="1" applyFill="1" applyBorder="1" applyAlignment="1" applyProtection="1">
      <alignment horizontal="center" vertical="center" wrapText="1"/>
    </xf>
    <xf numFmtId="167" fontId="8" fillId="2" borderId="24" xfId="14" applyNumberFormat="1" applyFont="1" applyFill="1" applyBorder="1" applyAlignment="1" applyProtection="1">
      <alignment horizontal="center" vertical="center" wrapText="1"/>
    </xf>
    <xf numFmtId="167" fontId="8" fillId="2" borderId="0" xfId="14" applyNumberFormat="1" applyFont="1" applyFill="1" applyBorder="1" applyAlignment="1" applyProtection="1">
      <alignment horizontal="center" vertical="center" wrapText="1"/>
      <protection locked="0"/>
    </xf>
    <xf numFmtId="0" fontId="8" fillId="5" borderId="19" xfId="0" applyFont="1" applyFill="1" applyBorder="1" applyAlignment="1">
      <alignment vertical="center"/>
    </xf>
    <xf numFmtId="0" fontId="8" fillId="5" borderId="17" xfId="0" applyFont="1" applyFill="1" applyBorder="1" applyAlignment="1">
      <alignment vertical="center"/>
    </xf>
    <xf numFmtId="0" fontId="8" fillId="5" borderId="18" xfId="0" applyFont="1" applyFill="1" applyBorder="1" applyAlignment="1">
      <alignment vertical="center"/>
    </xf>
    <xf numFmtId="0" fontId="8" fillId="5" borderId="12" xfId="0" applyFont="1" applyFill="1" applyBorder="1" applyAlignment="1">
      <alignment horizontal="center" vertical="center"/>
    </xf>
    <xf numFmtId="172" fontId="8" fillId="5" borderId="12" xfId="0" applyNumberFormat="1" applyFont="1" applyFill="1" applyBorder="1" applyAlignment="1">
      <alignment vertical="center"/>
    </xf>
    <xf numFmtId="172" fontId="8" fillId="5" borderId="18" xfId="0" applyNumberFormat="1" applyFont="1" applyFill="1" applyBorder="1" applyAlignment="1">
      <alignment vertical="center"/>
    </xf>
    <xf numFmtId="172" fontId="8" fillId="5" borderId="17" xfId="0" applyNumberFormat="1" applyFont="1" applyFill="1" applyBorder="1" applyAlignment="1">
      <alignment vertical="center"/>
    </xf>
    <xf numFmtId="172" fontId="8" fillId="5" borderId="32" xfId="0" applyNumberFormat="1" applyFont="1" applyFill="1" applyBorder="1" applyAlignment="1">
      <alignment vertical="center"/>
    </xf>
    <xf numFmtId="172" fontId="8" fillId="5" borderId="11" xfId="0" applyNumberFormat="1" applyFont="1" applyFill="1" applyBorder="1" applyAlignment="1">
      <alignment vertical="center"/>
    </xf>
    <xf numFmtId="9" fontId="8" fillId="2" borderId="1" xfId="0" applyNumberFormat="1" applyFont="1" applyFill="1" applyBorder="1" applyAlignment="1">
      <alignment horizontal="center" vertical="center"/>
    </xf>
    <xf numFmtId="49" fontId="7" fillId="2" borderId="2" xfId="0" applyNumberFormat="1" applyFont="1" applyFill="1" applyBorder="1" applyAlignment="1" applyProtection="1">
      <alignment horizontal="left" vertical="center"/>
      <protection locked="0"/>
    </xf>
    <xf numFmtId="1" fontId="8" fillId="2" borderId="50" xfId="15" applyNumberFormat="1" applyFont="1" applyFill="1" applyBorder="1" applyAlignment="1" applyProtection="1">
      <alignment horizontal="left" vertical="center"/>
    </xf>
    <xf numFmtId="0" fontId="8" fillId="0" borderId="67" xfId="0" applyFont="1" applyBorder="1" applyAlignment="1">
      <alignment vertical="center"/>
    </xf>
    <xf numFmtId="0" fontId="8" fillId="0" borderId="15" xfId="0" applyFont="1" applyBorder="1" applyAlignment="1">
      <alignment vertical="center"/>
    </xf>
    <xf numFmtId="0" fontId="8" fillId="0" borderId="55" xfId="0" applyFont="1" applyBorder="1" applyAlignment="1">
      <alignment vertical="center"/>
    </xf>
    <xf numFmtId="173" fontId="8" fillId="0" borderId="55" xfId="0" applyNumberFormat="1" applyFont="1" applyBorder="1" applyAlignment="1">
      <alignment horizontal="center" vertical="center" wrapText="1"/>
    </xf>
    <xf numFmtId="174" fontId="8" fillId="0" borderId="55" xfId="16" applyNumberFormat="1" applyFont="1" applyFill="1" applyBorder="1" applyAlignment="1" applyProtection="1">
      <alignment vertical="center" wrapText="1"/>
    </xf>
    <xf numFmtId="174" fontId="8" fillId="0" borderId="61" xfId="16" applyNumberFormat="1" applyFont="1" applyFill="1" applyBorder="1" applyAlignment="1" applyProtection="1">
      <alignment vertical="center" wrapText="1"/>
    </xf>
    <xf numFmtId="174" fontId="8" fillId="0" borderId="54" xfId="16" applyNumberFormat="1" applyFont="1" applyFill="1" applyBorder="1" applyAlignment="1" applyProtection="1">
      <alignment vertical="center" wrapText="1"/>
    </xf>
    <xf numFmtId="171" fontId="33" fillId="2" borderId="0" xfId="0" applyNumberFormat="1" applyFont="1" applyFill="1" applyAlignment="1">
      <alignment horizontal="center" vertical="center" wrapText="1"/>
    </xf>
    <xf numFmtId="0" fontId="34" fillId="2" borderId="0" xfId="0" applyFont="1" applyFill="1" applyAlignment="1">
      <alignment vertical="center"/>
    </xf>
    <xf numFmtId="1" fontId="7" fillId="2" borderId="13" xfId="15" applyNumberFormat="1" applyFont="1" applyFill="1" applyBorder="1" applyAlignment="1" applyProtection="1">
      <alignment horizontal="left" vertical="center"/>
    </xf>
    <xf numFmtId="0" fontId="7" fillId="2" borderId="5" xfId="15" applyNumberFormat="1" applyFont="1" applyFill="1" applyBorder="1" applyAlignment="1" applyProtection="1">
      <alignment horizontal="center" vertical="center"/>
    </xf>
    <xf numFmtId="171" fontId="7" fillId="2" borderId="5" xfId="0" applyNumberFormat="1" applyFont="1" applyFill="1" applyBorder="1" applyAlignment="1">
      <alignment horizontal="center" vertical="center"/>
    </xf>
    <xf numFmtId="171" fontId="7" fillId="0" borderId="5" xfId="0" applyNumberFormat="1" applyFont="1" applyBorder="1" applyAlignment="1">
      <alignment horizontal="center" vertical="center"/>
    </xf>
    <xf numFmtId="171" fontId="7" fillId="0" borderId="37" xfId="0" applyNumberFormat="1" applyFont="1" applyBorder="1" applyAlignment="1">
      <alignment horizontal="center" vertical="center"/>
    </xf>
    <xf numFmtId="171" fontId="7" fillId="9" borderId="4" xfId="15" applyNumberFormat="1" applyFont="1" applyFill="1" applyBorder="1" applyAlignment="1" applyProtection="1">
      <alignment horizontal="center" vertical="center"/>
      <protection locked="0"/>
    </xf>
    <xf numFmtId="171" fontId="7" fillId="0" borderId="35" xfId="0" applyNumberFormat="1" applyFont="1" applyBorder="1" applyAlignment="1">
      <alignment horizontal="center" vertical="center"/>
    </xf>
    <xf numFmtId="1" fontId="27" fillId="2" borderId="0" xfId="0" applyNumberFormat="1" applyFont="1" applyFill="1" applyAlignment="1">
      <alignment vertical="center"/>
    </xf>
    <xf numFmtId="1" fontId="27" fillId="0" borderId="0" xfId="0" applyNumberFormat="1" applyFont="1" applyAlignment="1">
      <alignment vertical="center"/>
    </xf>
    <xf numFmtId="0" fontId="7" fillId="2" borderId="4" xfId="15" applyNumberFormat="1" applyFont="1" applyFill="1" applyBorder="1" applyAlignment="1" applyProtection="1">
      <alignment horizontal="center" vertical="center"/>
    </xf>
    <xf numFmtId="171" fontId="7" fillId="0" borderId="4" xfId="0" applyNumberFormat="1" applyFont="1" applyBorder="1" applyAlignment="1">
      <alignment horizontal="center" vertical="center"/>
    </xf>
    <xf numFmtId="171" fontId="7" fillId="0" borderId="33" xfId="0" applyNumberFormat="1" applyFont="1" applyBorder="1" applyAlignment="1">
      <alignment horizontal="center" vertical="center"/>
    </xf>
    <xf numFmtId="44" fontId="7" fillId="9" borderId="4" xfId="15" applyNumberFormat="1" applyFont="1" applyFill="1" applyBorder="1" applyAlignment="1" applyProtection="1">
      <alignment horizontal="right" vertical="center"/>
      <protection locked="0"/>
    </xf>
    <xf numFmtId="174" fontId="7" fillId="9" borderId="4" xfId="15" applyNumberFormat="1" applyFont="1" applyFill="1" applyBorder="1" applyAlignment="1" applyProtection="1">
      <alignment horizontal="center" vertical="center"/>
      <protection locked="0"/>
    </xf>
    <xf numFmtId="0" fontId="8" fillId="8" borderId="9" xfId="0" applyFont="1" applyFill="1" applyBorder="1" applyAlignment="1">
      <alignment horizontal="center" vertical="center"/>
    </xf>
    <xf numFmtId="174" fontId="8" fillId="8" borderId="9" xfId="0" applyNumberFormat="1" applyFont="1" applyFill="1" applyBorder="1" applyAlignment="1">
      <alignment vertical="center"/>
    </xf>
    <xf numFmtId="171" fontId="8" fillId="8" borderId="41" xfId="0" applyNumberFormat="1" applyFont="1" applyFill="1" applyBorder="1" applyAlignment="1">
      <alignment horizontal="center" vertical="center"/>
    </xf>
    <xf numFmtId="171" fontId="8" fillId="8" borderId="36" xfId="0" applyNumberFormat="1" applyFont="1" applyFill="1" applyBorder="1" applyAlignment="1">
      <alignment horizontal="center" vertical="center"/>
    </xf>
    <xf numFmtId="171" fontId="8" fillId="8" borderId="39" xfId="0" applyNumberFormat="1" applyFont="1" applyFill="1" applyBorder="1" applyAlignment="1">
      <alignment horizontal="center" vertical="center"/>
    </xf>
    <xf numFmtId="171" fontId="8" fillId="8" borderId="20" xfId="0" applyNumberFormat="1" applyFont="1" applyFill="1" applyBorder="1" applyAlignment="1">
      <alignment horizontal="center" vertical="center"/>
    </xf>
    <xf numFmtId="171" fontId="8" fillId="2" borderId="0" xfId="0" applyNumberFormat="1" applyFont="1" applyFill="1" applyAlignment="1">
      <alignment horizontal="center" vertical="center"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171" fontId="8" fillId="8" borderId="8" xfId="0" applyNumberFormat="1" applyFont="1" applyFill="1" applyBorder="1" applyAlignment="1">
      <alignment horizontal="center" vertical="center"/>
    </xf>
    <xf numFmtId="171" fontId="8" fillId="8" borderId="23" xfId="0" applyNumberFormat="1" applyFont="1" applyFill="1" applyBorder="1" applyAlignment="1">
      <alignment horizontal="center" vertical="center"/>
    </xf>
    <xf numFmtId="171" fontId="8" fillId="8" borderId="9" xfId="0" applyNumberFormat="1" applyFont="1" applyFill="1" applyBorder="1" applyAlignment="1">
      <alignment horizontal="center" vertical="center"/>
    </xf>
    <xf numFmtId="1" fontId="8" fillId="2" borderId="13" xfId="15" applyNumberFormat="1" applyFont="1" applyFill="1" applyBorder="1" applyAlignment="1" applyProtection="1">
      <alignment horizontal="left" vertical="center"/>
    </xf>
    <xf numFmtId="0" fontId="8" fillId="0" borderId="68" xfId="0" applyFont="1" applyBorder="1" applyAlignment="1">
      <alignment vertical="center"/>
    </xf>
    <xf numFmtId="0" fontId="8" fillId="0" borderId="24" xfId="0" applyFont="1" applyBorder="1" applyAlignment="1">
      <alignment vertical="center"/>
    </xf>
    <xf numFmtId="173" fontId="8" fillId="0" borderId="24" xfId="0" applyNumberFormat="1" applyFont="1" applyBorder="1" applyAlignment="1">
      <alignment horizontal="center" vertical="center" wrapText="1"/>
    </xf>
    <xf numFmtId="174" fontId="8" fillId="0" borderId="24" xfId="16" applyNumberFormat="1" applyFont="1" applyFill="1" applyBorder="1" applyAlignment="1" applyProtection="1">
      <alignment vertical="center" wrapText="1"/>
    </xf>
    <xf numFmtId="174" fontId="8" fillId="0" borderId="37" xfId="16" applyNumberFormat="1" applyFont="1" applyFill="1" applyBorder="1" applyAlignment="1" applyProtection="1">
      <alignment vertical="center" wrapText="1"/>
    </xf>
    <xf numFmtId="174" fontId="8" fillId="0" borderId="25" xfId="16" applyNumberFormat="1" applyFont="1" applyFill="1" applyBorder="1" applyAlignment="1" applyProtection="1">
      <alignment vertical="center" wrapText="1"/>
    </xf>
    <xf numFmtId="174" fontId="8" fillId="0" borderId="15" xfId="16" applyNumberFormat="1" applyFont="1" applyFill="1" applyBorder="1" applyAlignment="1" applyProtection="1">
      <alignment vertical="center" wrapText="1"/>
    </xf>
    <xf numFmtId="174" fontId="8" fillId="0" borderId="42" xfId="16" applyNumberFormat="1" applyFont="1" applyFill="1" applyBorder="1" applyAlignment="1" applyProtection="1">
      <alignment vertical="center" wrapText="1"/>
    </xf>
    <xf numFmtId="1" fontId="34" fillId="2" borderId="0" xfId="0" applyNumberFormat="1" applyFont="1" applyFill="1" applyAlignment="1">
      <alignment vertical="center"/>
    </xf>
    <xf numFmtId="1" fontId="7" fillId="2" borderId="0" xfId="0" applyNumberFormat="1" applyFont="1" applyFill="1" applyAlignment="1">
      <alignment vertical="center"/>
    </xf>
    <xf numFmtId="1" fontId="34" fillId="0" borderId="0" xfId="0" applyNumberFormat="1" applyFont="1" applyAlignment="1">
      <alignment vertical="center"/>
    </xf>
    <xf numFmtId="174" fontId="7" fillId="0" borderId="4" xfId="0" applyNumberFormat="1" applyFont="1" applyBorder="1" applyAlignment="1">
      <alignment vertical="center"/>
    </xf>
    <xf numFmtId="171" fontId="7" fillId="9" borderId="7" xfId="15" applyNumberFormat="1" applyFont="1" applyFill="1" applyBorder="1" applyAlignment="1" applyProtection="1">
      <alignment horizontal="center" vertical="center"/>
      <protection locked="0"/>
    </xf>
    <xf numFmtId="0" fontId="27" fillId="0" borderId="0" xfId="0" applyFont="1" applyAlignment="1">
      <alignment vertical="center"/>
    </xf>
    <xf numFmtId="0" fontId="7" fillId="0" borderId="3" xfId="0" applyFont="1" applyBorder="1" applyAlignment="1">
      <alignment horizontal="left" vertical="center" wrapText="1"/>
    </xf>
    <xf numFmtId="0" fontId="7" fillId="9" borderId="21" xfId="15" applyNumberFormat="1" applyFont="1" applyFill="1" applyBorder="1" applyAlignment="1" applyProtection="1">
      <alignment horizontal="center" vertical="center"/>
      <protection locked="0"/>
    </xf>
    <xf numFmtId="174" fontId="7" fillId="0" borderId="21" xfId="0" applyNumberFormat="1" applyFont="1" applyBorder="1" applyAlignment="1">
      <alignment vertical="center"/>
    </xf>
    <xf numFmtId="0" fontId="7" fillId="9" borderId="7" xfId="15" applyNumberFormat="1" applyFont="1" applyFill="1" applyBorder="1" applyAlignment="1" applyProtection="1">
      <alignment horizontal="center" vertical="center"/>
      <protection locked="0"/>
    </xf>
    <xf numFmtId="0" fontId="8" fillId="8" borderId="21" xfId="0" applyFont="1" applyFill="1" applyBorder="1" applyAlignment="1">
      <alignment horizontal="center" vertical="center"/>
    </xf>
    <xf numFmtId="174" fontId="8" fillId="8" borderId="21" xfId="0" applyNumberFormat="1" applyFont="1" applyFill="1" applyBorder="1" applyAlignment="1">
      <alignment vertical="center"/>
    </xf>
    <xf numFmtId="174" fontId="8" fillId="8" borderId="59" xfId="0" applyNumberFormat="1" applyFont="1" applyFill="1" applyBorder="1" applyAlignment="1">
      <alignment vertical="center"/>
    </xf>
    <xf numFmtId="0" fontId="7" fillId="2" borderId="54" xfId="0" applyFont="1" applyFill="1" applyBorder="1" applyAlignment="1">
      <alignment vertical="center"/>
    </xf>
    <xf numFmtId="0" fontId="7" fillId="2" borderId="55" xfId="0" applyFont="1" applyFill="1" applyBorder="1" applyAlignment="1">
      <alignment horizontal="right" vertical="center" wrapText="1"/>
    </xf>
    <xf numFmtId="0" fontId="31" fillId="0" borderId="55" xfId="0" applyFont="1" applyBorder="1" applyAlignment="1">
      <alignment vertical="center"/>
    </xf>
    <xf numFmtId="0" fontId="8" fillId="2" borderId="55" xfId="0" applyFont="1" applyFill="1" applyBorder="1" applyAlignment="1">
      <alignment vertical="center" wrapText="1"/>
    </xf>
    <xf numFmtId="0" fontId="8" fillId="2" borderId="40" xfId="0" applyFont="1" applyFill="1" applyBorder="1" applyAlignment="1">
      <alignment horizontal="right" vertical="center"/>
    </xf>
    <xf numFmtId="1" fontId="7" fillId="0" borderId="22" xfId="0" applyNumberFormat="1" applyFont="1" applyBorder="1" applyAlignment="1">
      <alignment horizontal="center" vertical="center"/>
    </xf>
    <xf numFmtId="1" fontId="7" fillId="0" borderId="53" xfId="0" applyNumberFormat="1" applyFont="1" applyBorder="1" applyAlignment="1">
      <alignment horizontal="center" vertical="center"/>
    </xf>
    <xf numFmtId="171" fontId="8" fillId="2" borderId="0" xfId="0" applyNumberFormat="1" applyFont="1" applyFill="1" applyAlignment="1">
      <alignment horizontal="center" vertical="center"/>
    </xf>
    <xf numFmtId="49" fontId="34" fillId="2" borderId="0" xfId="0" applyNumberFormat="1" applyFont="1" applyFill="1" applyAlignment="1" applyProtection="1">
      <alignment horizontal="left" vertical="center"/>
      <protection locked="0"/>
    </xf>
    <xf numFmtId="0" fontId="34" fillId="0" borderId="0" xfId="0" applyFont="1" applyAlignment="1">
      <alignment vertical="center"/>
    </xf>
    <xf numFmtId="0" fontId="34" fillId="2" borderId="0" xfId="0" applyFont="1" applyFill="1" applyAlignment="1">
      <alignment horizontal="left" vertical="center"/>
    </xf>
    <xf numFmtId="0" fontId="31" fillId="2" borderId="0" xfId="0" applyFont="1" applyFill="1" applyAlignment="1">
      <alignment vertical="center"/>
    </xf>
    <xf numFmtId="0" fontId="7" fillId="2" borderId="52" xfId="0" applyFont="1" applyFill="1" applyBorder="1" applyAlignment="1">
      <alignment vertical="center"/>
    </xf>
    <xf numFmtId="0" fontId="7" fillId="2" borderId="23" xfId="0" applyFont="1" applyFill="1" applyBorder="1" applyAlignment="1">
      <alignment horizontal="right" vertical="center" wrapText="1"/>
    </xf>
    <xf numFmtId="0" fontId="31" fillId="0" borderId="23" xfId="0" applyFont="1" applyBorder="1" applyAlignment="1">
      <alignment vertical="center"/>
    </xf>
    <xf numFmtId="0" fontId="8" fillId="2" borderId="23" xfId="0" applyFont="1" applyFill="1" applyBorder="1" applyAlignment="1">
      <alignment vertical="center" wrapText="1"/>
    </xf>
    <xf numFmtId="0" fontId="8" fillId="2" borderId="41" xfId="0" applyFont="1" applyFill="1" applyBorder="1" applyAlignment="1">
      <alignment horizontal="right" vertical="center"/>
    </xf>
    <xf numFmtId="171" fontId="8" fillId="2" borderId="23" xfId="0" applyNumberFormat="1" applyFont="1" applyFill="1" applyBorder="1" applyAlignment="1">
      <alignment horizontal="center" vertical="center"/>
    </xf>
    <xf numFmtId="171" fontId="8" fillId="2" borderId="36" xfId="0" applyNumberFormat="1" applyFont="1" applyFill="1" applyBorder="1" applyAlignment="1">
      <alignment horizontal="center" vertical="center"/>
    </xf>
    <xf numFmtId="171" fontId="8" fillId="2" borderId="56" xfId="0" applyNumberFormat="1" applyFont="1" applyFill="1" applyBorder="1" applyAlignment="1">
      <alignment horizontal="center" vertical="center"/>
    </xf>
    <xf numFmtId="0" fontId="8" fillId="5" borderId="52" xfId="0" applyFont="1" applyFill="1" applyBorder="1" applyAlignment="1">
      <alignment vertical="center"/>
    </xf>
    <xf numFmtId="0" fontId="8" fillId="5" borderId="70" xfId="0" applyFont="1" applyFill="1" applyBorder="1" applyAlignment="1">
      <alignment vertical="center"/>
    </xf>
    <xf numFmtId="0" fontId="8" fillId="5" borderId="23" xfId="0" applyFont="1" applyFill="1" applyBorder="1" applyAlignment="1">
      <alignment vertical="center"/>
    </xf>
    <xf numFmtId="0" fontId="8" fillId="5" borderId="41" xfId="0" applyFont="1" applyFill="1" applyBorder="1" applyAlignment="1">
      <alignment vertical="center"/>
    </xf>
    <xf numFmtId="172" fontId="8" fillId="5" borderId="23" xfId="0" applyNumberFormat="1" applyFont="1" applyFill="1" applyBorder="1" applyAlignment="1">
      <alignment vertical="center"/>
    </xf>
    <xf numFmtId="172" fontId="8" fillId="5" borderId="70" xfId="0" applyNumberFormat="1" applyFont="1" applyFill="1" applyBorder="1" applyAlignment="1">
      <alignment vertical="center"/>
    </xf>
    <xf numFmtId="172" fontId="8" fillId="5" borderId="56" xfId="0" applyNumberFormat="1" applyFont="1" applyFill="1" applyBorder="1" applyAlignment="1">
      <alignment vertical="center"/>
    </xf>
    <xf numFmtId="172" fontId="8" fillId="5" borderId="34" xfId="0" applyNumberFormat="1" applyFont="1" applyFill="1" applyBorder="1" applyAlignment="1">
      <alignment vertical="center"/>
    </xf>
    <xf numFmtId="0" fontId="7" fillId="2" borderId="50" xfId="0" applyFont="1" applyFill="1" applyBorder="1" applyAlignment="1">
      <alignment vertical="center"/>
    </xf>
    <xf numFmtId="49" fontId="7" fillId="0" borderId="60" xfId="0" applyNumberFormat="1" applyFont="1" applyBorder="1" applyAlignment="1">
      <alignment vertical="center"/>
    </xf>
    <xf numFmtId="49" fontId="7" fillId="0" borderId="55" xfId="0" applyNumberFormat="1" applyFont="1" applyBorder="1" applyAlignment="1">
      <alignment vertical="center"/>
    </xf>
    <xf numFmtId="171" fontId="7" fillId="9" borderId="22" xfId="0" applyNumberFormat="1" applyFont="1" applyFill="1" applyBorder="1" applyAlignment="1" applyProtection="1">
      <alignment vertical="center"/>
      <protection locked="0"/>
    </xf>
    <xf numFmtId="171" fontId="7" fillId="2" borderId="22" xfId="0" applyNumberFormat="1" applyFont="1" applyFill="1" applyBorder="1" applyAlignment="1">
      <alignment horizontal="center" vertical="center"/>
    </xf>
    <xf numFmtId="171" fontId="7" fillId="2" borderId="61" xfId="0" applyNumberFormat="1" applyFont="1" applyFill="1" applyBorder="1" applyAlignment="1">
      <alignment horizontal="center" vertical="center"/>
    </xf>
    <xf numFmtId="171" fontId="7" fillId="9" borderId="50" xfId="15" applyNumberFormat="1" applyFont="1" applyFill="1" applyBorder="1" applyAlignment="1" applyProtection="1">
      <alignment horizontal="center" vertical="center"/>
      <protection locked="0"/>
    </xf>
    <xf numFmtId="171" fontId="7" fillId="9" borderId="22" xfId="15" applyNumberFormat="1" applyFont="1" applyFill="1" applyBorder="1" applyAlignment="1" applyProtection="1">
      <alignment horizontal="center" vertical="center"/>
      <protection locked="0"/>
    </xf>
    <xf numFmtId="171" fontId="7" fillId="9" borderId="40" xfId="15" applyNumberFormat="1" applyFont="1" applyFill="1" applyBorder="1" applyAlignment="1" applyProtection="1">
      <alignment horizontal="center" vertical="center"/>
      <protection locked="0"/>
    </xf>
    <xf numFmtId="171" fontId="7" fillId="0" borderId="53" xfId="0" applyNumberFormat="1" applyFont="1" applyBorder="1" applyAlignment="1">
      <alignment horizontal="center" vertical="center"/>
    </xf>
    <xf numFmtId="171" fontId="7" fillId="2" borderId="0" xfId="0" applyNumberFormat="1" applyFont="1" applyFill="1" applyAlignment="1">
      <alignment vertical="center"/>
    </xf>
    <xf numFmtId="49" fontId="7" fillId="2" borderId="0" xfId="0" applyNumberFormat="1" applyFont="1" applyFill="1" applyAlignment="1" applyProtection="1">
      <alignment horizontal="left" vertical="center"/>
      <protection locked="0"/>
    </xf>
    <xf numFmtId="49" fontId="7" fillId="0" borderId="3" xfId="0" applyNumberFormat="1" applyFont="1" applyBorder="1" applyAlignment="1">
      <alignment vertical="center"/>
    </xf>
    <xf numFmtId="49" fontId="7" fillId="0" borderId="1" xfId="0" applyNumberFormat="1" applyFont="1" applyBorder="1" applyAlignment="1">
      <alignment vertical="center"/>
    </xf>
    <xf numFmtId="171" fontId="7" fillId="9" borderId="4" xfId="0" applyNumberFormat="1" applyFont="1" applyFill="1" applyBorder="1" applyAlignment="1" applyProtection="1">
      <alignment vertical="center"/>
      <protection locked="0"/>
    </xf>
    <xf numFmtId="171" fontId="7" fillId="2" borderId="37" xfId="0" applyNumberFormat="1" applyFont="1" applyFill="1" applyBorder="1" applyAlignment="1">
      <alignment horizontal="center" vertical="center"/>
    </xf>
    <xf numFmtId="171" fontId="7" fillId="9" borderId="2" xfId="15" applyNumberFormat="1" applyFont="1" applyFill="1" applyBorder="1" applyAlignment="1" applyProtection="1">
      <alignment horizontal="center" vertical="center"/>
      <protection locked="0"/>
    </xf>
    <xf numFmtId="0" fontId="7" fillId="2" borderId="8" xfId="0" applyFont="1" applyFill="1" applyBorder="1" applyAlignment="1">
      <alignment vertical="center"/>
    </xf>
    <xf numFmtId="0" fontId="7" fillId="0" borderId="66" xfId="0" applyFont="1" applyBorder="1" applyAlignment="1">
      <alignment vertical="center"/>
    </xf>
    <xf numFmtId="0" fontId="7" fillId="0" borderId="10" xfId="0" applyFont="1" applyBorder="1" applyAlignment="1">
      <alignment vertical="center"/>
    </xf>
    <xf numFmtId="0" fontId="7" fillId="0" borderId="16" xfId="0" applyFont="1" applyBorder="1" applyAlignment="1">
      <alignment vertical="center"/>
    </xf>
    <xf numFmtId="171" fontId="7" fillId="9" borderId="9" xfId="0" applyNumberFormat="1" applyFont="1" applyFill="1" applyBorder="1" applyAlignment="1" applyProtection="1">
      <alignment vertical="center"/>
      <protection locked="0"/>
    </xf>
    <xf numFmtId="171" fontId="7" fillId="2" borderId="36" xfId="0" applyNumberFormat="1" applyFont="1" applyFill="1" applyBorder="1" applyAlignment="1">
      <alignment horizontal="center" vertical="center"/>
    </xf>
    <xf numFmtId="171" fontId="7" fillId="2" borderId="39" xfId="0" applyNumberFormat="1" applyFont="1" applyFill="1" applyBorder="1" applyAlignment="1">
      <alignment horizontal="center" vertical="center"/>
    </xf>
    <xf numFmtId="171" fontId="7" fillId="9" borderId="8" xfId="15" applyNumberFormat="1" applyFont="1" applyFill="1" applyBorder="1" applyAlignment="1" applyProtection="1">
      <alignment horizontal="center" vertical="center"/>
      <protection locked="0"/>
    </xf>
    <xf numFmtId="171" fontId="7" fillId="9" borderId="9" xfId="15" applyNumberFormat="1" applyFont="1" applyFill="1" applyBorder="1" applyAlignment="1" applyProtection="1">
      <alignment horizontal="center" vertical="center"/>
      <protection locked="0"/>
    </xf>
    <xf numFmtId="171" fontId="7" fillId="9" borderId="16" xfId="15" applyNumberFormat="1" applyFont="1" applyFill="1" applyBorder="1" applyAlignment="1" applyProtection="1">
      <alignment horizontal="center" vertical="center"/>
      <protection locked="0"/>
    </xf>
    <xf numFmtId="171" fontId="7" fillId="0" borderId="51" xfId="0" applyNumberFormat="1" applyFont="1" applyBorder="1" applyAlignment="1">
      <alignment horizontal="center" vertical="center"/>
    </xf>
    <xf numFmtId="0" fontId="7" fillId="2" borderId="26" xfId="0" applyFont="1" applyFill="1" applyBorder="1" applyAlignment="1">
      <alignment vertical="center"/>
    </xf>
    <xf numFmtId="0" fontId="7" fillId="2" borderId="0" xfId="0" applyFont="1" applyFill="1" applyAlignment="1">
      <alignment horizontal="right" vertical="center" wrapText="1"/>
    </xf>
    <xf numFmtId="0" fontId="8" fillId="2" borderId="0" xfId="0" applyFont="1" applyFill="1" applyAlignment="1">
      <alignment vertical="center" wrapText="1"/>
    </xf>
    <xf numFmtId="171" fontId="8" fillId="2" borderId="12" xfId="0" applyNumberFormat="1" applyFont="1" applyFill="1" applyBorder="1" applyAlignment="1">
      <alignment horizontal="center" vertical="center"/>
    </xf>
    <xf numFmtId="0" fontId="8" fillId="5" borderId="38" xfId="0" applyFont="1" applyFill="1" applyBorder="1" applyAlignment="1">
      <alignment vertical="center"/>
    </xf>
    <xf numFmtId="171" fontId="8" fillId="5" borderId="12" xfId="0" applyNumberFormat="1" applyFont="1" applyFill="1" applyBorder="1" applyAlignment="1">
      <alignment horizontal="right" vertical="center"/>
    </xf>
    <xf numFmtId="171" fontId="8" fillId="5" borderId="32" xfId="0" applyNumberFormat="1" applyFont="1" applyFill="1" applyBorder="1" applyAlignment="1">
      <alignment horizontal="right" vertical="center"/>
    </xf>
    <xf numFmtId="171" fontId="8" fillId="5" borderId="17" xfId="0" applyNumberFormat="1" applyFont="1" applyFill="1" applyBorder="1" applyAlignment="1">
      <alignment horizontal="right" vertical="center"/>
    </xf>
    <xf numFmtId="9" fontId="8" fillId="2" borderId="49" xfId="0" applyNumberFormat="1" applyFont="1" applyFill="1" applyBorder="1" applyAlignment="1">
      <alignment horizontal="center" vertical="center"/>
    </xf>
    <xf numFmtId="171" fontId="7" fillId="0" borderId="0" xfId="0" applyNumberFormat="1" applyFont="1" applyAlignment="1">
      <alignment vertical="center"/>
    </xf>
    <xf numFmtId="0" fontId="7" fillId="2" borderId="19" xfId="0" applyFont="1" applyFill="1" applyBorder="1" applyAlignment="1">
      <alignment vertical="center"/>
    </xf>
    <xf numFmtId="0" fontId="31" fillId="0" borderId="18" xfId="0" applyFont="1" applyBorder="1" applyAlignment="1">
      <alignment vertical="center"/>
    </xf>
    <xf numFmtId="0" fontId="8" fillId="2" borderId="18" xfId="0" applyFont="1" applyFill="1" applyBorder="1" applyAlignment="1">
      <alignment vertical="center" wrapText="1"/>
    </xf>
    <xf numFmtId="0" fontId="8" fillId="2" borderId="38" xfId="0" applyFont="1" applyFill="1" applyBorder="1" applyAlignment="1">
      <alignment horizontal="right" vertical="center"/>
    </xf>
    <xf numFmtId="171" fontId="8" fillId="2" borderId="32" xfId="0" applyNumberFormat="1" applyFont="1" applyFill="1" applyBorder="1" applyAlignment="1">
      <alignment horizontal="center" vertical="center"/>
    </xf>
    <xf numFmtId="0" fontId="7" fillId="2" borderId="0" xfId="16" applyNumberFormat="1" applyFont="1" applyFill="1" applyBorder="1" applyAlignment="1" applyProtection="1">
      <alignment horizontal="center" vertical="center"/>
    </xf>
    <xf numFmtId="171" fontId="8" fillId="2" borderId="39" xfId="0" applyNumberFormat="1" applyFont="1" applyFill="1" applyBorder="1" applyAlignment="1">
      <alignment horizontal="center" vertical="center"/>
    </xf>
    <xf numFmtId="0" fontId="8" fillId="2" borderId="11" xfId="0" applyFont="1" applyFill="1" applyBorder="1" applyAlignment="1">
      <alignment horizontal="center" vertical="center"/>
    </xf>
    <xf numFmtId="0" fontId="8" fillId="2" borderId="17" xfId="0" applyFont="1" applyFill="1" applyBorder="1" applyAlignment="1">
      <alignment vertical="center"/>
    </xf>
    <xf numFmtId="0" fontId="8" fillId="2" borderId="18" xfId="0" applyFont="1" applyFill="1" applyBorder="1" applyAlignment="1">
      <alignment vertical="center"/>
    </xf>
    <xf numFmtId="167" fontId="8" fillId="2" borderId="25" xfId="14" applyNumberFormat="1" applyFont="1" applyFill="1" applyBorder="1" applyAlignment="1" applyProtection="1">
      <alignment horizontal="center" vertical="center" wrapText="1"/>
    </xf>
    <xf numFmtId="167" fontId="8" fillId="2" borderId="0" xfId="14" applyNumberFormat="1" applyFont="1" applyFill="1" applyBorder="1" applyAlignment="1" applyProtection="1">
      <alignment horizontal="center" vertical="center" wrapText="1"/>
    </xf>
    <xf numFmtId="49" fontId="8" fillId="2" borderId="0" xfId="0" applyNumberFormat="1" applyFont="1" applyFill="1" applyAlignment="1" applyProtection="1">
      <alignment horizontal="left" vertical="center"/>
      <protection locked="0"/>
    </xf>
    <xf numFmtId="0" fontId="7" fillId="2" borderId="13" xfId="0" applyFont="1" applyFill="1" applyBorder="1" applyAlignment="1">
      <alignment vertical="center"/>
    </xf>
    <xf numFmtId="0" fontId="7" fillId="0" borderId="60" xfId="0" applyFont="1" applyBorder="1" applyAlignment="1">
      <alignment vertical="center"/>
    </xf>
    <xf numFmtId="0" fontId="7" fillId="0" borderId="55" xfId="0" applyFont="1" applyBorder="1" applyAlignment="1">
      <alignment vertical="center"/>
    </xf>
    <xf numFmtId="0" fontId="7" fillId="0" borderId="14" xfId="0" applyFont="1" applyBorder="1" applyAlignment="1">
      <alignment vertical="center"/>
    </xf>
    <xf numFmtId="171" fontId="7" fillId="9" borderId="13" xfId="15" applyNumberFormat="1" applyFont="1" applyFill="1" applyBorder="1" applyAlignment="1" applyProtection="1">
      <alignment horizontal="center" vertical="center"/>
      <protection locked="0"/>
    </xf>
    <xf numFmtId="171" fontId="7" fillId="9" borderId="5" xfId="15" applyNumberFormat="1" applyFont="1" applyFill="1" applyBorder="1" applyAlignment="1" applyProtection="1">
      <alignment horizontal="center" vertical="center"/>
      <protection locked="0"/>
    </xf>
    <xf numFmtId="0" fontId="7" fillId="9" borderId="5" xfId="15" applyNumberFormat="1" applyFont="1" applyFill="1" applyBorder="1" applyAlignment="1" applyProtection="1">
      <alignment horizontal="center" vertical="center"/>
      <protection locked="0"/>
    </xf>
    <xf numFmtId="0" fontId="7" fillId="0" borderId="64" xfId="0" applyFont="1" applyBorder="1" applyAlignment="1">
      <alignment vertical="center"/>
    </xf>
    <xf numFmtId="0" fontId="7" fillId="0" borderId="24"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174" fontId="8" fillId="2" borderId="0" xfId="16" applyNumberFormat="1" applyFont="1" applyFill="1" applyBorder="1" applyAlignment="1" applyProtection="1">
      <alignment horizontal="center" vertical="center" wrapText="1"/>
    </xf>
    <xf numFmtId="0" fontId="7" fillId="2" borderId="0" xfId="0" applyFont="1" applyFill="1" applyAlignment="1" applyProtection="1">
      <alignment horizontal="left" vertical="center"/>
      <protection locked="0"/>
    </xf>
    <xf numFmtId="49" fontId="7" fillId="2" borderId="1" xfId="0" applyNumberFormat="1" applyFont="1" applyFill="1" applyBorder="1" applyAlignment="1" applyProtection="1">
      <alignment horizontal="left" vertical="center"/>
      <protection locked="0"/>
    </xf>
    <xf numFmtId="9" fontId="8" fillId="2" borderId="3" xfId="12" applyFont="1" applyFill="1" applyBorder="1" applyAlignment="1" applyProtection="1">
      <alignment horizontal="center" vertical="center"/>
    </xf>
    <xf numFmtId="0" fontId="7" fillId="0" borderId="18" xfId="0" applyFont="1" applyBorder="1" applyAlignment="1">
      <alignment vertical="center"/>
    </xf>
    <xf numFmtId="0" fontId="31" fillId="0" borderId="25" xfId="0" applyFont="1" applyBorder="1" applyAlignment="1">
      <alignment vertical="center"/>
    </xf>
    <xf numFmtId="0" fontId="31" fillId="0" borderId="15" xfId="0" applyFont="1" applyBorder="1" applyAlignment="1">
      <alignment horizontal="left" vertical="center"/>
    </xf>
    <xf numFmtId="9" fontId="31" fillId="0" borderId="15" xfId="0" applyNumberFormat="1" applyFont="1" applyBorder="1" applyAlignment="1">
      <alignment horizontal="left" vertical="center"/>
    </xf>
    <xf numFmtId="9" fontId="31" fillId="0" borderId="42" xfId="0" applyNumberFormat="1" applyFont="1" applyBorder="1" applyAlignment="1">
      <alignment horizontal="left" vertical="center"/>
    </xf>
    <xf numFmtId="9" fontId="31" fillId="0" borderId="0" xfId="0" applyNumberFormat="1" applyFont="1" applyAlignment="1">
      <alignment horizontal="left" vertical="center"/>
    </xf>
    <xf numFmtId="171" fontId="7" fillId="2" borderId="0" xfId="0" applyNumberFormat="1" applyFont="1" applyFill="1" applyAlignment="1">
      <alignment horizontal="right" vertical="center"/>
    </xf>
    <xf numFmtId="0" fontId="9" fillId="3" borderId="19" xfId="0" applyFont="1" applyFill="1" applyBorder="1" applyAlignment="1">
      <alignment horizontal="left" vertical="center"/>
    </xf>
    <xf numFmtId="0" fontId="9" fillId="3" borderId="18" xfId="0" applyFont="1" applyFill="1" applyBorder="1" applyAlignment="1">
      <alignment horizontal="left" vertical="center"/>
    </xf>
    <xf numFmtId="0" fontId="9" fillId="3" borderId="18" xfId="0" applyFont="1" applyFill="1" applyBorder="1" applyAlignment="1">
      <alignment horizontal="right" vertical="center"/>
    </xf>
    <xf numFmtId="0" fontId="27" fillId="3" borderId="18" xfId="0" applyFont="1" applyFill="1" applyBorder="1" applyAlignment="1">
      <alignment vertical="center"/>
    </xf>
    <xf numFmtId="0" fontId="9" fillId="3" borderId="38" xfId="0" applyFont="1" applyFill="1" applyBorder="1" applyAlignment="1">
      <alignment horizontal="center" vertical="center"/>
    </xf>
    <xf numFmtId="171" fontId="9" fillId="3" borderId="38" xfId="0" applyNumberFormat="1" applyFont="1" applyFill="1" applyBorder="1" applyAlignment="1">
      <alignment horizontal="center" vertical="center"/>
    </xf>
    <xf numFmtId="171" fontId="9" fillId="3" borderId="34" xfId="0" applyNumberFormat="1" applyFont="1" applyFill="1" applyBorder="1" applyAlignment="1">
      <alignment horizontal="center" vertical="center"/>
    </xf>
    <xf numFmtId="0" fontId="7" fillId="0" borderId="55" xfId="0" applyFont="1" applyBorder="1" applyAlignment="1">
      <alignment vertical="center" wrapText="1"/>
    </xf>
    <xf numFmtId="0" fontId="8" fillId="0" borderId="55" xfId="0" applyFont="1" applyBorder="1" applyAlignment="1">
      <alignment horizontal="right" vertical="center"/>
    </xf>
    <xf numFmtId="171" fontId="8" fillId="2" borderId="22" xfId="0" applyNumberFormat="1" applyFont="1" applyFill="1" applyBorder="1" applyAlignment="1">
      <alignment horizontal="center" vertical="center"/>
    </xf>
    <xf numFmtId="171" fontId="8" fillId="0" borderId="22" xfId="0" applyNumberFormat="1" applyFont="1" applyBorder="1" applyAlignment="1">
      <alignment horizontal="center" vertical="center"/>
    </xf>
    <xf numFmtId="171" fontId="8" fillId="0" borderId="61" xfId="0" applyNumberFormat="1" applyFont="1" applyBorder="1" applyAlignment="1">
      <alignment horizontal="center" vertical="center"/>
    </xf>
    <xf numFmtId="9" fontId="7" fillId="0" borderId="0" xfId="12" applyFont="1" applyFill="1" applyBorder="1" applyAlignment="1" applyProtection="1">
      <alignment horizontal="center" vertical="center"/>
    </xf>
    <xf numFmtId="171" fontId="7" fillId="0" borderId="0" xfId="0" applyNumberFormat="1" applyFont="1" applyAlignment="1">
      <alignment horizontal="center" vertical="center"/>
    </xf>
    <xf numFmtId="0" fontId="7" fillId="0" borderId="23" xfId="0" applyFont="1" applyBorder="1" applyAlignment="1">
      <alignment vertical="center"/>
    </xf>
    <xf numFmtId="0" fontId="7" fillId="0" borderId="23" xfId="0" applyFont="1" applyBorder="1" applyAlignment="1">
      <alignment vertical="center" wrapText="1"/>
    </xf>
    <xf numFmtId="0" fontId="8" fillId="0" borderId="23" xfId="0" applyFont="1" applyBorder="1" applyAlignment="1">
      <alignment horizontal="right" vertical="center"/>
    </xf>
    <xf numFmtId="0" fontId="7" fillId="0" borderId="0" xfId="0" applyFont="1" applyAlignment="1">
      <alignment horizontal="left" vertical="center"/>
    </xf>
    <xf numFmtId="169" fontId="7" fillId="2" borderId="0" xfId="0" applyNumberFormat="1" applyFont="1" applyFill="1" applyAlignment="1">
      <alignment horizontal="right" vertical="center"/>
    </xf>
    <xf numFmtId="0" fontId="7" fillId="0" borderId="26" xfId="0" applyFont="1" applyBorder="1" applyAlignment="1">
      <alignment vertical="center"/>
    </xf>
    <xf numFmtId="167" fontId="7" fillId="0" borderId="18" xfId="14" applyNumberFormat="1" applyFont="1" applyBorder="1" applyAlignment="1" applyProtection="1">
      <alignment vertical="center"/>
    </xf>
    <xf numFmtId="167" fontId="7" fillId="0" borderId="34" xfId="14" applyNumberFormat="1" applyFont="1" applyBorder="1" applyAlignment="1" applyProtection="1">
      <alignment vertical="center"/>
    </xf>
    <xf numFmtId="167" fontId="7" fillId="0" borderId="0" xfId="14" applyNumberFormat="1" applyFont="1" applyBorder="1" applyAlignment="1" applyProtection="1">
      <alignment vertical="center"/>
    </xf>
    <xf numFmtId="167" fontId="8" fillId="2" borderId="38" xfId="14" applyNumberFormat="1" applyFont="1" applyFill="1" applyBorder="1" applyAlignment="1" applyProtection="1">
      <alignment horizontal="center" vertical="center" wrapText="1"/>
    </xf>
    <xf numFmtId="167" fontId="8" fillId="2" borderId="29" xfId="14" applyNumberFormat="1" applyFont="1" applyFill="1" applyBorder="1" applyAlignment="1" applyProtection="1">
      <alignment horizontal="center" vertical="center" wrapText="1"/>
    </xf>
    <xf numFmtId="167" fontId="8" fillId="2" borderId="15" xfId="14" applyNumberFormat="1" applyFont="1" applyFill="1" applyBorder="1" applyAlignment="1" applyProtection="1">
      <alignment horizontal="center" vertical="center" wrapText="1"/>
    </xf>
    <xf numFmtId="167" fontId="8" fillId="2" borderId="57" xfId="14" applyNumberFormat="1" applyFont="1" applyFill="1" applyBorder="1" applyAlignment="1" applyProtection="1">
      <alignment horizontal="center" vertical="center" wrapText="1"/>
    </xf>
    <xf numFmtId="0" fontId="8" fillId="0" borderId="55" xfId="0" applyFont="1" applyBorder="1" applyAlignment="1">
      <alignment vertical="center" wrapText="1"/>
    </xf>
    <xf numFmtId="0" fontId="8" fillId="0" borderId="40" xfId="0" applyFont="1" applyBorder="1" applyAlignment="1">
      <alignment vertical="center" wrapText="1"/>
    </xf>
    <xf numFmtId="171" fontId="7" fillId="0" borderId="22" xfId="0" applyNumberFormat="1" applyFont="1" applyBorder="1" applyAlignment="1">
      <alignment horizontal="center" vertical="center"/>
    </xf>
    <xf numFmtId="171" fontId="7" fillId="0" borderId="42" xfId="0" applyNumberFormat="1" applyFont="1" applyBorder="1" applyAlignment="1">
      <alignment horizontal="center" vertical="center"/>
    </xf>
    <xf numFmtId="0" fontId="7" fillId="9" borderId="22" xfId="15" applyNumberFormat="1" applyFont="1" applyFill="1" applyBorder="1" applyAlignment="1" applyProtection="1">
      <alignment horizontal="center" vertical="center"/>
      <protection locked="0"/>
    </xf>
    <xf numFmtId="0" fontId="8" fillId="0" borderId="10" xfId="0" applyFont="1" applyBorder="1" applyAlignment="1">
      <alignment vertical="center" wrapText="1"/>
    </xf>
    <xf numFmtId="0" fontId="8" fillId="0" borderId="16" xfId="0" applyFont="1" applyBorder="1" applyAlignment="1">
      <alignment vertical="center" wrapText="1"/>
    </xf>
    <xf numFmtId="171" fontId="7" fillId="0" borderId="36" xfId="0" applyNumberFormat="1" applyFont="1" applyBorder="1" applyAlignment="1">
      <alignment horizontal="center" vertical="center"/>
    </xf>
    <xf numFmtId="171" fontId="7" fillId="11" borderId="36" xfId="0" applyNumberFormat="1" applyFont="1" applyFill="1" applyBorder="1" applyAlignment="1">
      <alignment horizontal="center" vertical="center"/>
    </xf>
    <xf numFmtId="171" fontId="7" fillId="0" borderId="59" xfId="0" applyNumberFormat="1" applyFont="1" applyBorder="1" applyAlignment="1">
      <alignment horizontal="center" vertical="center"/>
    </xf>
    <xf numFmtId="0" fontId="7" fillId="9" borderId="9" xfId="15" applyNumberFormat="1" applyFont="1" applyFill="1" applyBorder="1" applyAlignment="1" applyProtection="1">
      <alignment horizontal="center" vertical="center"/>
      <protection locked="0"/>
    </xf>
    <xf numFmtId="0" fontId="31" fillId="0" borderId="26" xfId="0" applyFont="1" applyBorder="1" applyAlignment="1">
      <alignment horizontal="left" vertical="center"/>
    </xf>
    <xf numFmtId="0" fontId="31" fillId="0" borderId="0" xfId="0" applyFont="1" applyAlignment="1">
      <alignment horizontal="left" vertical="center"/>
    </xf>
    <xf numFmtId="0" fontId="31" fillId="0" borderId="23" xfId="0" applyFont="1" applyBorder="1" applyAlignment="1">
      <alignment horizontal="left" vertical="center"/>
    </xf>
    <xf numFmtId="1" fontId="31" fillId="0" borderId="0" xfId="0" applyNumberFormat="1" applyFont="1" applyAlignment="1">
      <alignment horizontal="left" vertical="center"/>
    </xf>
    <xf numFmtId="1" fontId="31" fillId="0" borderId="34" xfId="0" applyNumberFormat="1" applyFont="1" applyBorder="1" applyAlignment="1">
      <alignment horizontal="left" vertical="center"/>
    </xf>
    <xf numFmtId="175" fontId="7" fillId="2" borderId="0" xfId="0" applyNumberFormat="1" applyFont="1" applyFill="1" applyAlignment="1" applyProtection="1">
      <alignment horizontal="left" vertical="center"/>
      <protection locked="0"/>
    </xf>
    <xf numFmtId="175" fontId="7" fillId="2" borderId="0" xfId="0" applyNumberFormat="1" applyFont="1" applyFill="1" applyAlignment="1">
      <alignment horizontal="left" vertical="center"/>
    </xf>
    <xf numFmtId="175" fontId="7" fillId="0" borderId="0" xfId="0" applyNumberFormat="1" applyFont="1" applyAlignment="1">
      <alignment horizontal="left" vertical="center"/>
    </xf>
    <xf numFmtId="0" fontId="7" fillId="0" borderId="18" xfId="0" applyFont="1" applyBorder="1" applyAlignment="1">
      <alignment vertical="center" wrapText="1"/>
    </xf>
    <xf numFmtId="0" fontId="8" fillId="0" borderId="18" xfId="0" applyFont="1" applyBorder="1" applyAlignment="1">
      <alignment horizontal="right" vertical="center"/>
    </xf>
    <xf numFmtId="171" fontId="7" fillId="11" borderId="12" xfId="0" applyNumberFormat="1" applyFont="1" applyFill="1" applyBorder="1" applyAlignment="1">
      <alignment horizontal="center" vertical="center"/>
    </xf>
    <xf numFmtId="171" fontId="7" fillId="0" borderId="34" xfId="0" applyNumberFormat="1" applyFont="1" applyBorder="1" applyAlignment="1">
      <alignment horizontal="center" vertical="center"/>
    </xf>
    <xf numFmtId="171" fontId="8" fillId="0" borderId="0" xfId="0" applyNumberFormat="1" applyFont="1" applyAlignment="1">
      <alignment horizontal="center" vertical="center"/>
    </xf>
    <xf numFmtId="0" fontId="26" fillId="8" borderId="23" xfId="10" applyFont="1" applyFill="1" applyBorder="1" applyAlignment="1">
      <alignment horizontal="center" vertical="center"/>
    </xf>
    <xf numFmtId="0" fontId="26" fillId="8" borderId="10" xfId="10" applyFont="1" applyFill="1" applyBorder="1" applyAlignment="1">
      <alignment horizontal="center" vertical="center"/>
    </xf>
    <xf numFmtId="0" fontId="10" fillId="3" borderId="50" xfId="10" applyFont="1" applyFill="1" applyBorder="1" applyAlignment="1">
      <alignment horizontal="center" vertical="center" wrapText="1"/>
    </xf>
    <xf numFmtId="0" fontId="10" fillId="3" borderId="22" xfId="10" applyFont="1" applyFill="1" applyBorder="1" applyAlignment="1">
      <alignment horizontal="center" vertical="center" wrapText="1"/>
    </xf>
    <xf numFmtId="0" fontId="10" fillId="3" borderId="53" xfId="10" applyFont="1" applyFill="1" applyBorder="1" applyAlignment="1">
      <alignment horizontal="center" vertical="center" wrapText="1"/>
    </xf>
    <xf numFmtId="1" fontId="22" fillId="2" borderId="8" xfId="10" applyNumberFormat="1" applyFont="1" applyFill="1" applyBorder="1" applyAlignment="1">
      <alignment horizontal="center" vertical="center" wrapText="1"/>
    </xf>
    <xf numFmtId="1" fontId="21" fillId="8" borderId="10" xfId="9" applyNumberFormat="1" applyFont="1" applyFill="1" applyBorder="1" applyAlignment="1" applyProtection="1">
      <alignment horizontal="center" vertical="center"/>
    </xf>
    <xf numFmtId="0" fontId="23" fillId="8" borderId="10" xfId="10" applyFont="1" applyFill="1" applyBorder="1" applyAlignment="1">
      <alignment horizontal="center" vertical="center"/>
    </xf>
    <xf numFmtId="165" fontId="23" fillId="8" borderId="48" xfId="10" applyNumberFormat="1" applyFont="1" applyFill="1" applyBorder="1" applyAlignment="1">
      <alignment horizontal="center" vertical="center"/>
    </xf>
    <xf numFmtId="0" fontId="21" fillId="8" borderId="65" xfId="9" applyNumberFormat="1" applyFont="1" applyFill="1" applyBorder="1" applyAlignment="1" applyProtection="1">
      <alignment horizontal="center" vertical="center"/>
    </xf>
    <xf numFmtId="0" fontId="23" fillId="8" borderId="65" xfId="10" applyFont="1" applyFill="1" applyBorder="1" applyAlignment="1">
      <alignment horizontal="center" vertical="center" wrapText="1"/>
    </xf>
    <xf numFmtId="1" fontId="21" fillId="7" borderId="7" xfId="12" applyNumberFormat="1" applyFont="1" applyFill="1" applyBorder="1" applyAlignment="1" applyProtection="1">
      <alignment horizontal="center" vertical="center"/>
    </xf>
    <xf numFmtId="0" fontId="0" fillId="0" borderId="0" xfId="0" applyAlignment="1">
      <alignment vertical="center"/>
    </xf>
    <xf numFmtId="0" fontId="1" fillId="2" borderId="4" xfId="10" applyFont="1" applyFill="1" applyBorder="1" applyAlignment="1">
      <alignment vertical="center"/>
    </xf>
    <xf numFmtId="0" fontId="23" fillId="7" borderId="61" xfId="10" applyFont="1" applyFill="1" applyBorder="1" applyAlignment="1">
      <alignment horizontal="center" vertical="center"/>
    </xf>
    <xf numFmtId="0" fontId="23" fillId="7" borderId="37" xfId="10" applyFont="1" applyFill="1" applyBorder="1" applyAlignment="1">
      <alignment horizontal="center" vertical="center"/>
    </xf>
    <xf numFmtId="0" fontId="23" fillId="8" borderId="56" xfId="10" applyFont="1" applyFill="1" applyBorder="1" applyAlignment="1">
      <alignment horizontal="center" vertical="center"/>
    </xf>
    <xf numFmtId="0" fontId="23" fillId="8" borderId="51" xfId="10" applyFont="1" applyFill="1" applyBorder="1" applyAlignment="1">
      <alignment horizontal="center" vertical="center"/>
    </xf>
    <xf numFmtId="0" fontId="23" fillId="8" borderId="48" xfId="10" applyFont="1"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171" fontId="7" fillId="2" borderId="70" xfId="0" applyNumberFormat="1" applyFont="1" applyFill="1" applyBorder="1" applyAlignment="1">
      <alignment horizontal="center" vertical="center"/>
    </xf>
    <xf numFmtId="171" fontId="7" fillId="2" borderId="26" xfId="0" applyNumberFormat="1" applyFont="1" applyFill="1" applyBorder="1" applyAlignment="1">
      <alignment horizontal="center" vertical="center"/>
    </xf>
    <xf numFmtId="171" fontId="34" fillId="2" borderId="5" xfId="0" applyNumberFormat="1" applyFont="1" applyFill="1" applyBorder="1" applyAlignment="1">
      <alignment horizontal="center" vertical="center"/>
    </xf>
    <xf numFmtId="0" fontId="21" fillId="2" borderId="21" xfId="10" applyFont="1" applyFill="1" applyBorder="1" applyAlignment="1" applyProtection="1">
      <alignment vertical="center"/>
      <protection locked="0"/>
    </xf>
    <xf numFmtId="0" fontId="34" fillId="9" borderId="4" xfId="0" applyFont="1" applyFill="1" applyBorder="1" applyAlignment="1" applyProtection="1">
      <alignment horizontal="center" vertical="center"/>
      <protection locked="0"/>
    </xf>
    <xf numFmtId="0" fontId="35" fillId="0" borderId="21" xfId="10" applyFont="1" applyBorder="1" applyAlignment="1" applyProtection="1">
      <alignment horizontal="center" vertical="center"/>
      <protection locked="0"/>
    </xf>
    <xf numFmtId="0" fontId="36" fillId="2" borderId="21" xfId="10" applyFont="1" applyFill="1" applyBorder="1" applyAlignment="1" applyProtection="1">
      <alignment vertical="center"/>
      <protection locked="0"/>
    </xf>
    <xf numFmtId="0" fontId="36" fillId="0" borderId="45" xfId="10" applyFont="1" applyBorder="1" applyAlignment="1" applyProtection="1">
      <alignment horizontal="center" vertical="center"/>
      <protection locked="0"/>
    </xf>
    <xf numFmtId="0" fontId="34" fillId="0" borderId="3" xfId="0" applyFont="1" applyBorder="1" applyAlignment="1">
      <alignment horizontal="left" vertical="center" wrapText="1"/>
    </xf>
    <xf numFmtId="0" fontId="1" fillId="2" borderId="5" xfId="10" applyFont="1" applyFill="1" applyBorder="1" applyAlignment="1">
      <alignment vertical="center"/>
    </xf>
    <xf numFmtId="0" fontId="7" fillId="0" borderId="4" xfId="0" applyFont="1" applyBorder="1" applyAlignment="1">
      <alignment horizontal="center" vertical="center"/>
    </xf>
    <xf numFmtId="0" fontId="19" fillId="0" borderId="4" xfId="0" applyFont="1" applyBorder="1" applyAlignment="1">
      <alignment horizontal="left" vertical="center"/>
    </xf>
    <xf numFmtId="0" fontId="19" fillId="0" borderId="4" xfId="0" applyFont="1" applyBorder="1" applyAlignment="1">
      <alignment horizontal="left" vertical="center" wrapText="1"/>
    </xf>
    <xf numFmtId="0" fontId="7" fillId="0" borderId="5" xfId="0" applyFont="1" applyBorder="1" applyAlignment="1">
      <alignment horizontal="center" vertical="center"/>
    </xf>
    <xf numFmtId="0" fontId="19" fillId="0" borderId="5" xfId="0" applyFont="1" applyBorder="1" applyAlignment="1">
      <alignment horizontal="left" vertical="center" wrapText="1"/>
    </xf>
    <xf numFmtId="0" fontId="21" fillId="0" borderId="49" xfId="9" applyNumberFormat="1" applyFont="1" applyBorder="1" applyAlignment="1" applyProtection="1">
      <alignment horizontal="left" vertical="center"/>
      <protection locked="0"/>
    </xf>
    <xf numFmtId="0" fontId="21" fillId="0" borderId="1" xfId="9" applyNumberFormat="1" applyFont="1" applyBorder="1" applyAlignment="1" applyProtection="1">
      <alignment horizontal="left" vertical="center"/>
      <protection locked="0"/>
    </xf>
    <xf numFmtId="0" fontId="21" fillId="0" borderId="2" xfId="9" applyNumberFormat="1" applyFont="1" applyBorder="1" applyAlignment="1" applyProtection="1">
      <alignment horizontal="left" vertical="center"/>
      <protection locked="0"/>
    </xf>
    <xf numFmtId="0" fontId="21" fillId="0" borderId="31" xfId="9" applyNumberFormat="1" applyFont="1" applyBorder="1" applyAlignment="1" applyProtection="1">
      <alignment horizontal="left" vertical="center"/>
      <protection locked="0"/>
    </xf>
    <xf numFmtId="0" fontId="21" fillId="0" borderId="54" xfId="9" applyNumberFormat="1" applyFont="1" applyBorder="1" applyAlignment="1" applyProtection="1">
      <alignment horizontal="left" vertical="center"/>
      <protection locked="0"/>
    </xf>
    <xf numFmtId="0" fontId="21" fillId="0" borderId="55" xfId="9" applyNumberFormat="1" applyFont="1" applyBorder="1" applyAlignment="1" applyProtection="1">
      <alignment horizontal="left" vertical="center"/>
      <protection locked="0"/>
    </xf>
    <xf numFmtId="0" fontId="21" fillId="0" borderId="40" xfId="9" applyNumberFormat="1" applyFont="1" applyBorder="1" applyAlignment="1" applyProtection="1">
      <alignment horizontal="left" vertical="center"/>
      <protection locked="0"/>
    </xf>
    <xf numFmtId="0" fontId="23" fillId="2" borderId="1" xfId="10" applyFont="1" applyFill="1" applyBorder="1" applyAlignment="1">
      <alignment horizontal="left" vertical="center"/>
    </xf>
    <xf numFmtId="0" fontId="23" fillId="2" borderId="2" xfId="10" applyFont="1" applyFill="1" applyBorder="1" applyAlignment="1">
      <alignment horizontal="left" vertical="center"/>
    </xf>
    <xf numFmtId="0" fontId="23" fillId="2" borderId="55" xfId="10" applyFont="1" applyFill="1" applyBorder="1" applyAlignment="1">
      <alignment horizontal="left" vertical="center"/>
    </xf>
    <xf numFmtId="0" fontId="23" fillId="2" borderId="40" xfId="10" applyFont="1" applyFill="1" applyBorder="1" applyAlignment="1">
      <alignment horizontal="left" vertical="center"/>
    </xf>
    <xf numFmtId="0" fontId="24" fillId="3" borderId="30" xfId="10" applyFont="1" applyFill="1" applyBorder="1" applyAlignment="1">
      <alignment horizontal="center" vertical="center" wrapText="1"/>
    </xf>
    <xf numFmtId="0" fontId="24" fillId="3" borderId="36" xfId="10" applyFont="1" applyFill="1" applyBorder="1" applyAlignment="1">
      <alignment horizontal="center" vertical="center" wrapText="1"/>
    </xf>
    <xf numFmtId="0" fontId="24" fillId="3" borderId="29" xfId="10" applyFont="1" applyFill="1" applyBorder="1" applyAlignment="1">
      <alignment horizontal="center" vertical="center" wrapText="1"/>
    </xf>
    <xf numFmtId="0" fontId="24" fillId="3" borderId="41" xfId="10" applyFont="1" applyFill="1" applyBorder="1" applyAlignment="1">
      <alignment horizontal="center" vertical="center" wrapText="1"/>
    </xf>
    <xf numFmtId="0" fontId="24" fillId="3" borderId="57" xfId="10" applyFont="1" applyFill="1" applyBorder="1" applyAlignment="1">
      <alignment horizontal="center" vertical="center" wrapText="1"/>
    </xf>
    <xf numFmtId="0" fontId="24" fillId="3" borderId="56" xfId="10" applyFont="1" applyFill="1" applyBorder="1" applyAlignment="1">
      <alignment horizontal="center" vertical="center" wrapText="1"/>
    </xf>
    <xf numFmtId="0" fontId="21" fillId="0" borderId="60" xfId="9" applyNumberFormat="1" applyFont="1" applyBorder="1" applyAlignment="1" applyProtection="1">
      <alignment horizontal="left" vertical="center"/>
      <protection locked="0"/>
    </xf>
    <xf numFmtId="0" fontId="21" fillId="0" borderId="61" xfId="9" applyNumberFormat="1" applyFont="1" applyBorder="1" applyAlignment="1" applyProtection="1">
      <alignment horizontal="left" vertical="center"/>
      <protection locked="0"/>
    </xf>
    <xf numFmtId="0" fontId="24" fillId="3" borderId="25" xfId="10" applyFont="1" applyFill="1" applyBorder="1" applyAlignment="1">
      <alignment horizontal="center" vertical="center" wrapText="1"/>
    </xf>
    <xf numFmtId="0" fontId="24" fillId="3" borderId="15" xfId="10" applyFont="1" applyFill="1" applyBorder="1" applyAlignment="1">
      <alignment horizontal="center" vertical="center" wrapText="1"/>
    </xf>
    <xf numFmtId="0" fontId="24" fillId="3" borderId="42" xfId="10" applyFont="1" applyFill="1" applyBorder="1" applyAlignment="1">
      <alignment horizontal="center" vertical="center" wrapText="1"/>
    </xf>
    <xf numFmtId="0" fontId="24" fillId="3" borderId="52" xfId="10" applyFont="1" applyFill="1" applyBorder="1" applyAlignment="1">
      <alignment horizontal="center" vertical="center" wrapText="1"/>
    </xf>
    <xf numFmtId="0" fontId="24" fillId="3" borderId="23" xfId="10" applyFont="1" applyFill="1" applyBorder="1" applyAlignment="1">
      <alignment horizontal="center" vertical="center" wrapText="1"/>
    </xf>
    <xf numFmtId="0" fontId="24" fillId="3" borderId="39" xfId="10" applyFont="1" applyFill="1" applyBorder="1" applyAlignment="1">
      <alignment horizontal="center" vertical="center" wrapText="1"/>
    </xf>
    <xf numFmtId="0" fontId="24" fillId="3" borderId="6" xfId="10" applyFont="1" applyFill="1" applyBorder="1" applyAlignment="1">
      <alignment horizontal="center" vertical="center" wrapText="1"/>
    </xf>
    <xf numFmtId="0" fontId="24" fillId="3" borderId="20" xfId="10" applyFont="1" applyFill="1" applyBorder="1" applyAlignment="1">
      <alignment horizontal="center" vertical="center" wrapText="1"/>
    </xf>
    <xf numFmtId="0" fontId="24" fillId="3" borderId="50" xfId="10" applyFont="1" applyFill="1" applyBorder="1" applyAlignment="1">
      <alignment horizontal="center" vertical="center" wrapText="1"/>
    </xf>
    <xf numFmtId="0" fontId="24" fillId="3" borderId="8" xfId="10" applyFont="1" applyFill="1" applyBorder="1" applyAlignment="1">
      <alignment horizontal="center" vertical="center" wrapText="1"/>
    </xf>
    <xf numFmtId="0" fontId="24" fillId="3" borderId="30" xfId="10" applyFont="1" applyFill="1" applyBorder="1" applyAlignment="1">
      <alignment horizontal="center" vertical="center"/>
    </xf>
    <xf numFmtId="0" fontId="24" fillId="3" borderId="36" xfId="10" applyFont="1" applyFill="1" applyBorder="1" applyAlignment="1">
      <alignment horizontal="center" vertical="center"/>
    </xf>
    <xf numFmtId="0" fontId="24" fillId="3" borderId="46" xfId="10" applyFont="1" applyFill="1" applyBorder="1" applyAlignment="1">
      <alignment horizontal="center" vertical="center" wrapText="1"/>
    </xf>
    <xf numFmtId="0" fontId="24" fillId="3" borderId="27" xfId="10" applyFont="1" applyFill="1" applyBorder="1" applyAlignment="1">
      <alignment horizontal="center" vertical="center" wrapText="1"/>
    </xf>
    <xf numFmtId="0" fontId="24" fillId="3" borderId="58" xfId="10" applyFont="1" applyFill="1" applyBorder="1" applyAlignment="1">
      <alignment horizontal="center" vertical="center" wrapText="1"/>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9" borderId="3" xfId="0" applyFont="1" applyFill="1" applyBorder="1" applyAlignment="1" applyProtection="1">
      <alignment horizontal="center" vertical="center"/>
      <protection locked="0"/>
    </xf>
    <xf numFmtId="0" fontId="7" fillId="9" borderId="1" xfId="0" applyFont="1" applyFill="1" applyBorder="1" applyAlignment="1" applyProtection="1">
      <alignment horizontal="center" vertical="center"/>
      <protection locked="0"/>
    </xf>
    <xf numFmtId="0" fontId="7" fillId="9" borderId="2" xfId="0" applyFont="1" applyFill="1" applyBorder="1" applyAlignment="1" applyProtection="1">
      <alignment horizontal="center" vertical="center"/>
      <protection locked="0"/>
    </xf>
    <xf numFmtId="0" fontId="9" fillId="3" borderId="19"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34" xfId="0" applyFont="1" applyFill="1" applyBorder="1" applyAlignment="1">
      <alignment horizontal="center" vertical="center"/>
    </xf>
    <xf numFmtId="9" fontId="7" fillId="9" borderId="3" xfId="12" applyFont="1" applyFill="1" applyBorder="1" applyAlignment="1" applyProtection="1">
      <alignment horizontal="left" vertical="center"/>
      <protection locked="0"/>
    </xf>
    <xf numFmtId="9" fontId="7" fillId="9" borderId="31" xfId="12" applyFont="1" applyFill="1" applyBorder="1" applyAlignment="1" applyProtection="1">
      <alignment horizontal="left" vertical="center"/>
      <protection locked="0"/>
    </xf>
    <xf numFmtId="0" fontId="8"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7" fillId="2" borderId="3" xfId="0" applyFont="1" applyFill="1" applyBorder="1" applyAlignment="1">
      <alignment horizontal="left" vertical="center"/>
    </xf>
    <xf numFmtId="0" fontId="7" fillId="2" borderId="2" xfId="0" applyFont="1" applyFill="1" applyBorder="1" applyAlignment="1">
      <alignment horizontal="left" vertical="center"/>
    </xf>
    <xf numFmtId="0" fontId="7" fillId="10" borderId="19"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10" borderId="34" xfId="0" applyFont="1" applyFill="1" applyBorder="1" applyAlignment="1">
      <alignment horizontal="center" vertical="center" wrapText="1"/>
    </xf>
    <xf numFmtId="0" fontId="9" fillId="3" borderId="17" xfId="0" applyFont="1" applyFill="1" applyBorder="1" applyAlignment="1">
      <alignment horizontal="center" vertical="center"/>
    </xf>
    <xf numFmtId="0" fontId="8" fillId="2" borderId="54" xfId="0" applyFont="1" applyFill="1" applyBorder="1" applyAlignment="1">
      <alignment horizontal="left" vertical="center" wrapText="1"/>
    </xf>
    <xf numFmtId="0" fontId="8" fillId="2" borderId="55" xfId="0" applyFont="1" applyFill="1" applyBorder="1" applyAlignment="1">
      <alignment horizontal="left" vertical="center" wrapText="1"/>
    </xf>
    <xf numFmtId="0" fontId="8" fillId="2" borderId="61" xfId="0" applyFont="1" applyFill="1" applyBorder="1" applyAlignment="1">
      <alignment horizontal="left" vertical="center" wrapText="1"/>
    </xf>
    <xf numFmtId="0" fontId="7" fillId="2" borderId="65" xfId="0" applyFont="1" applyFill="1" applyBorder="1" applyAlignment="1">
      <alignment horizontal="left" vertical="center"/>
    </xf>
    <xf numFmtId="0" fontId="7" fillId="2" borderId="10" xfId="0" applyFont="1" applyFill="1" applyBorder="1" applyAlignment="1">
      <alignment horizontal="left" vertical="center"/>
    </xf>
    <xf numFmtId="0" fontId="9" fillId="3" borderId="2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6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8" fillId="2" borderId="65" xfId="0" applyFont="1" applyFill="1" applyBorder="1" applyAlignment="1">
      <alignment horizontal="left" vertical="center"/>
    </xf>
    <xf numFmtId="0" fontId="8" fillId="2" borderId="10" xfId="0" applyFont="1" applyFill="1" applyBorder="1" applyAlignment="1">
      <alignment horizontal="left" vertical="center"/>
    </xf>
    <xf numFmtId="9" fontId="7" fillId="9" borderId="66" xfId="12" applyFont="1" applyFill="1" applyBorder="1" applyAlignment="1" applyProtection="1">
      <alignment horizontal="left" vertical="center"/>
      <protection locked="0"/>
    </xf>
    <xf numFmtId="9" fontId="7" fillId="9" borderId="48" xfId="12" applyFont="1" applyFill="1" applyBorder="1" applyAlignment="1" applyProtection="1">
      <alignment horizontal="left" vertical="center"/>
      <protection locked="0"/>
    </xf>
    <xf numFmtId="0" fontId="7" fillId="9" borderId="7" xfId="0" applyFont="1" applyFill="1" applyBorder="1" applyAlignment="1" applyProtection="1">
      <alignment horizontal="left" vertical="center"/>
      <protection locked="0"/>
    </xf>
    <xf numFmtId="0" fontId="7" fillId="9" borderId="4" xfId="0" applyFont="1" applyFill="1" applyBorder="1" applyAlignment="1" applyProtection="1">
      <alignment horizontal="left" vertical="center"/>
      <protection locked="0"/>
    </xf>
    <xf numFmtId="169" fontId="28" fillId="9" borderId="4" xfId="0" applyNumberFormat="1" applyFont="1" applyFill="1" applyBorder="1" applyAlignment="1" applyProtection="1">
      <alignment horizontal="left" vertical="center"/>
      <protection locked="0"/>
    </xf>
    <xf numFmtId="169" fontId="28" fillId="9" borderId="33" xfId="0" applyNumberFormat="1" applyFont="1" applyFill="1" applyBorder="1" applyAlignment="1" applyProtection="1">
      <alignment horizontal="left" vertical="center"/>
      <protection locked="0"/>
    </xf>
    <xf numFmtId="0" fontId="7" fillId="9" borderId="7" xfId="0" applyFont="1" applyFill="1" applyBorder="1" applyAlignment="1" applyProtection="1">
      <alignment horizontal="center" vertical="center"/>
      <protection locked="0"/>
    </xf>
    <xf numFmtId="0" fontId="7" fillId="9" borderId="4" xfId="0" applyFont="1" applyFill="1" applyBorder="1" applyAlignment="1" applyProtection="1">
      <alignment horizontal="center" vertical="center"/>
      <protection locked="0"/>
    </xf>
    <xf numFmtId="0" fontId="8" fillId="0" borderId="8" xfId="0" applyFont="1" applyBorder="1" applyAlignment="1">
      <alignment horizontal="left" vertical="center"/>
    </xf>
    <xf numFmtId="0" fontId="8" fillId="0" borderId="9" xfId="0" applyFont="1" applyBorder="1" applyAlignment="1">
      <alignment horizontal="left" vertical="center"/>
    </xf>
    <xf numFmtId="0" fontId="28" fillId="9" borderId="66" xfId="0" applyFont="1" applyFill="1" applyBorder="1" applyAlignment="1" applyProtection="1">
      <alignment horizontal="left" vertical="center"/>
      <protection locked="0"/>
    </xf>
    <xf numFmtId="0" fontId="28" fillId="9" borderId="10" xfId="0" applyFont="1" applyFill="1" applyBorder="1" applyAlignment="1" applyProtection="1">
      <alignment horizontal="left" vertical="center"/>
      <protection locked="0"/>
    </xf>
    <xf numFmtId="0" fontId="28" fillId="9" borderId="48" xfId="0" applyFont="1" applyFill="1" applyBorder="1" applyAlignment="1" applyProtection="1">
      <alignment horizontal="left" vertical="center"/>
      <protection locked="0"/>
    </xf>
    <xf numFmtId="0" fontId="0" fillId="2" borderId="4" xfId="0" applyFill="1" applyBorder="1" applyAlignment="1">
      <alignment horizontal="center" vertical="center"/>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0" borderId="65" xfId="0" applyFont="1" applyBorder="1" applyAlignment="1">
      <alignment horizontal="right" vertical="center"/>
    </xf>
    <xf numFmtId="0" fontId="8" fillId="0" borderId="10" xfId="0" applyFont="1" applyBorder="1" applyAlignment="1">
      <alignment horizontal="right" vertical="center"/>
    </xf>
    <xf numFmtId="0" fontId="8" fillId="0" borderId="16" xfId="0" applyFont="1" applyBorder="1" applyAlignment="1">
      <alignment horizontal="right" vertical="center"/>
    </xf>
    <xf numFmtId="0" fontId="8" fillId="0" borderId="69" xfId="0" applyFont="1" applyBorder="1" applyAlignment="1">
      <alignment horizontal="right" vertical="center"/>
    </xf>
    <xf numFmtId="0" fontId="8" fillId="0" borderId="14" xfId="0" applyFont="1" applyBorder="1" applyAlignment="1">
      <alignment horizontal="right" vertical="center"/>
    </xf>
    <xf numFmtId="0" fontId="8" fillId="0" borderId="43" xfId="0" applyFont="1" applyBorder="1" applyAlignment="1">
      <alignment horizontal="right" vertical="center"/>
    </xf>
  </cellXfs>
  <cellStyles count="17">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Milliers_Fiche budget 7" xfId="15"/>
    <cellStyle name="Monétaire 2" xfId="16"/>
    <cellStyle name="Monétaire_Fiche budget 7" xfId="14"/>
    <cellStyle name="Normal" xfId="0" builtinId="0"/>
    <cellStyle name="Normal 2" xfId="2"/>
    <cellStyle name="Normal 3" xfId="10"/>
    <cellStyle name="Normal 4" xfId="13"/>
    <cellStyle name="Pourcentage" xfId="9" builtinId="5"/>
    <cellStyle name="Pourcentage 2" xfId="11"/>
    <cellStyle name="Pourcentage 3" xfId="12"/>
  </cellStyles>
  <dxfs count="75">
    <dxf>
      <font>
        <color rgb="FF009A46"/>
      </font>
      <fill>
        <patternFill>
          <bgColor theme="0"/>
        </patternFill>
      </fill>
    </dxf>
    <dxf>
      <font>
        <color rgb="FFE84242"/>
      </font>
      <fill>
        <patternFill patternType="none">
          <bgColor auto="1"/>
        </patternFill>
      </fill>
    </dxf>
    <dxf>
      <font>
        <color rgb="FFFF0000"/>
      </font>
    </dxf>
    <dxf>
      <font>
        <color rgb="FFFF0000"/>
      </font>
    </dxf>
    <dxf>
      <font>
        <color rgb="FFFF0000"/>
      </font>
    </dxf>
    <dxf>
      <font>
        <color rgb="FF009A46"/>
      </font>
      <fill>
        <patternFill>
          <bgColor theme="0"/>
        </patternFill>
      </fill>
    </dxf>
    <dxf>
      <font>
        <color rgb="FFE84242"/>
      </font>
      <fill>
        <patternFill patternType="none">
          <bgColor auto="1"/>
        </patternFill>
      </fill>
    </dxf>
    <dxf>
      <font>
        <color rgb="FF009A46"/>
      </font>
      <fill>
        <patternFill>
          <bgColor theme="0"/>
        </patternFill>
      </fill>
    </dxf>
    <dxf>
      <font>
        <color rgb="FFE84242"/>
      </font>
      <fill>
        <patternFill patternType="none">
          <bgColor auto="1"/>
        </patternFill>
      </fill>
    </dxf>
    <dxf>
      <fill>
        <patternFill>
          <bgColor rgb="FFFAF0F0"/>
        </patternFill>
      </fill>
    </dxf>
    <dxf>
      <font>
        <color rgb="FFE84242"/>
      </font>
    </dxf>
    <dxf>
      <fill>
        <patternFill>
          <bgColor rgb="FFFAF0F0"/>
        </patternFill>
      </fill>
    </dxf>
    <dxf>
      <font>
        <color rgb="FFE84242"/>
      </font>
    </dxf>
    <dxf>
      <fill>
        <patternFill>
          <bgColor rgb="FFFAF0F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rgb="FFFAF0F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66"/>
      <color rgb="FFFAF0F0"/>
      <color rgb="FFFF8E8E"/>
      <color rgb="FFE84242"/>
      <color rgb="FFF0F8FA"/>
      <color rgb="FFF4F7ED"/>
      <color rgb="FFF8EDEC"/>
      <color rgb="FFFBE1E1"/>
      <color rgb="FF009A46"/>
      <color rgb="FFFCF6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905436</xdr:colOff>
      <xdr:row>7</xdr:row>
      <xdr:rowOff>206188</xdr:rowOff>
    </xdr:from>
    <xdr:ext cx="6304483" cy="937629"/>
    <xdr:sp macro="" textlink="">
      <xdr:nvSpPr>
        <xdr:cNvPr id="2" name="Rectangle 1">
          <a:extLst>
            <a:ext uri="{FF2B5EF4-FFF2-40B4-BE49-F238E27FC236}">
              <a16:creationId xmlns:a16="http://schemas.microsoft.com/office/drawing/2014/main" id="{00000000-0008-0000-0000-000002000000}"/>
            </a:ext>
          </a:extLst>
        </xdr:cNvPr>
        <xdr:cNvSpPr/>
      </xdr:nvSpPr>
      <xdr:spPr>
        <a:xfrm rot="19040981">
          <a:off x="1694330" y="2626659"/>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22860</xdr:colOff>
      <xdr:row>13</xdr:row>
      <xdr:rowOff>76200</xdr:rowOff>
    </xdr:from>
    <xdr:to>
      <xdr:col>1</xdr:col>
      <xdr:colOff>6690360</xdr:colOff>
      <xdr:row>19</xdr:row>
      <xdr:rowOff>138783</xdr:rowOff>
    </xdr:to>
    <xdr:pic>
      <xdr:nvPicPr>
        <xdr:cNvPr id="12" name="Image 11">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 y="5829300"/>
          <a:ext cx="6667500" cy="106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1305462</xdr:colOff>
      <xdr:row>9</xdr:row>
      <xdr:rowOff>487495</xdr:rowOff>
    </xdr:from>
    <xdr:ext cx="6304483" cy="937629"/>
    <xdr:sp macro="" textlink="">
      <xdr:nvSpPr>
        <xdr:cNvPr id="3" name="Rectangle 2">
          <a:extLst>
            <a:ext uri="{FF2B5EF4-FFF2-40B4-BE49-F238E27FC236}">
              <a16:creationId xmlns:a16="http://schemas.microsoft.com/office/drawing/2014/main" id="{00000000-0008-0000-0100-000003000000}"/>
            </a:ext>
          </a:extLst>
        </xdr:cNvPr>
        <xdr:cNvSpPr/>
      </xdr:nvSpPr>
      <xdr:spPr>
        <a:xfrm rot="19040981">
          <a:off x="2097942" y="2575375"/>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720637</xdr:colOff>
      <xdr:row>20</xdr:row>
      <xdr:rowOff>2561</xdr:rowOff>
    </xdr:from>
    <xdr:ext cx="6304483" cy="937629"/>
    <xdr:sp macro="" textlink="">
      <xdr:nvSpPr>
        <xdr:cNvPr id="2" name="Rectangle 1">
          <a:extLst>
            <a:ext uri="{FF2B5EF4-FFF2-40B4-BE49-F238E27FC236}">
              <a16:creationId xmlns:a16="http://schemas.microsoft.com/office/drawing/2014/main" id="{00000000-0008-0000-0200-000002000000}"/>
            </a:ext>
          </a:extLst>
        </xdr:cNvPr>
        <xdr:cNvSpPr/>
      </xdr:nvSpPr>
      <xdr:spPr>
        <a:xfrm rot="19040981">
          <a:off x="7992294" y="4596332"/>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770965</xdr:colOff>
      <xdr:row>13</xdr:row>
      <xdr:rowOff>144931</xdr:rowOff>
    </xdr:from>
    <xdr:ext cx="6304483" cy="937629"/>
    <xdr:sp macro="" textlink="">
      <xdr:nvSpPr>
        <xdr:cNvPr id="2" name="Rectangle 1">
          <a:extLst>
            <a:ext uri="{FF2B5EF4-FFF2-40B4-BE49-F238E27FC236}">
              <a16:creationId xmlns:a16="http://schemas.microsoft.com/office/drawing/2014/main" id="{00000000-0008-0000-0500-000002000000}"/>
            </a:ext>
          </a:extLst>
        </xdr:cNvPr>
        <xdr:cNvSpPr/>
      </xdr:nvSpPr>
      <xdr:spPr>
        <a:xfrm rot="19040981">
          <a:off x="3370730" y="3703919"/>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797860</xdr:colOff>
      <xdr:row>12</xdr:row>
      <xdr:rowOff>224120</xdr:rowOff>
    </xdr:from>
    <xdr:ext cx="6304483" cy="937629"/>
    <xdr:sp macro="" textlink="">
      <xdr:nvSpPr>
        <xdr:cNvPr id="2" name="Rectangle 1">
          <a:extLst>
            <a:ext uri="{FF2B5EF4-FFF2-40B4-BE49-F238E27FC236}">
              <a16:creationId xmlns:a16="http://schemas.microsoft.com/office/drawing/2014/main" id="{00000000-0008-0000-0600-000002000000}"/>
            </a:ext>
          </a:extLst>
        </xdr:cNvPr>
        <xdr:cNvSpPr/>
      </xdr:nvSpPr>
      <xdr:spPr>
        <a:xfrm rot="19040981">
          <a:off x="1270300" y="2913980"/>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valley/ownCloud/SERVICE%20PCF/CONTROLE%20DE%20GESTION/MAQUETTES/NVLLE%20ACCREDITATION/Outil%20maquette_version%20de%20travail%20202103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valley/ownCloud/SERVICE%20PCF/CONTROLE%20DE%20GESTION/MAQUETTES/FC/0%20-%20MODELES/maquette%20vierge%2020210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sheetName val="Référentiel accompagnement"/>
      <sheetName val="Mode opératoire"/>
      <sheetName val="L1"/>
      <sheetName val="L2"/>
      <sheetName val="L3P1"/>
      <sheetName val="L3P2"/>
      <sheetName val="L3P3"/>
      <sheetName val="Paramétr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3">
          <cell r="C23" t="str">
            <v>SPSUIV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opératoire"/>
      <sheetName val="Enseignements"/>
      <sheetName val="Recettes et simulat"/>
      <sheetName val="Budget détaillé"/>
      <sheetName val="Indicateurs V2"/>
      <sheetName val="Budget détaillé heures comp"/>
      <sheetName val="Synthèse"/>
      <sheetName val="Référentiel accompagnement"/>
      <sheetName val="Détail FI"/>
      <sheetName val="Feuil1"/>
    </sheetNames>
    <sheetDataSet>
      <sheetData sheetId="0"/>
      <sheetData sheetId="1"/>
      <sheetData sheetId="2"/>
      <sheetData sheetId="3">
        <row r="62">
          <cell r="K62">
            <v>10320</v>
          </cell>
        </row>
        <row r="63">
          <cell r="K63">
            <v>2064</v>
          </cell>
        </row>
        <row r="77">
          <cell r="J77">
            <v>0</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6"/>
  <sheetViews>
    <sheetView zoomScale="85" zoomScaleNormal="85" workbookViewId="0">
      <selection activeCell="D8" sqref="D8"/>
    </sheetView>
  </sheetViews>
  <sheetFormatPr baseColWidth="10" defaultColWidth="11.5546875" defaultRowHeight="13.2" x14ac:dyDescent="0.25"/>
  <cols>
    <col min="1" max="1" width="11.5546875" style="30"/>
    <col min="2" max="2" width="23.109375" style="30" customWidth="1"/>
    <col min="3" max="3" width="63.33203125" style="30" customWidth="1"/>
    <col min="4" max="5" width="11.109375" style="30" customWidth="1"/>
    <col min="6" max="16384" width="11.5546875" style="30"/>
  </cols>
  <sheetData>
    <row r="2" spans="1:5" ht="41.4" x14ac:dyDescent="0.25">
      <c r="A2" s="23" t="s">
        <v>0</v>
      </c>
      <c r="B2" s="23" t="s">
        <v>1</v>
      </c>
      <c r="C2" s="23" t="s">
        <v>2</v>
      </c>
      <c r="D2" s="23" t="s">
        <v>3</v>
      </c>
      <c r="E2" s="23" t="s">
        <v>4</v>
      </c>
    </row>
    <row r="3" spans="1:5" ht="13.8" x14ac:dyDescent="0.25">
      <c r="A3" s="27" t="s">
        <v>5</v>
      </c>
      <c r="B3" s="21" t="s">
        <v>6</v>
      </c>
      <c r="C3" s="21"/>
      <c r="D3" s="21"/>
      <c r="E3" s="22"/>
    </row>
    <row r="4" spans="1:5" ht="37.799999999999997" x14ac:dyDescent="0.25">
      <c r="A4" s="451" t="s">
        <v>7</v>
      </c>
      <c r="B4" s="452" t="s">
        <v>8</v>
      </c>
      <c r="C4" s="19" t="s">
        <v>9</v>
      </c>
      <c r="D4" s="20" t="s">
        <v>10</v>
      </c>
      <c r="E4" s="24"/>
    </row>
    <row r="5" spans="1:5" ht="25.2" x14ac:dyDescent="0.25">
      <c r="A5" s="448"/>
      <c r="B5" s="449"/>
      <c r="C5" s="14" t="s">
        <v>11</v>
      </c>
      <c r="D5" s="25"/>
      <c r="E5" s="20" t="s">
        <v>10</v>
      </c>
    </row>
    <row r="6" spans="1:5" ht="25.2" x14ac:dyDescent="0.25">
      <c r="A6" s="448" t="s">
        <v>12</v>
      </c>
      <c r="B6" s="449" t="s">
        <v>13</v>
      </c>
      <c r="C6" s="14" t="s">
        <v>14</v>
      </c>
      <c r="D6" s="20" t="s">
        <v>10</v>
      </c>
      <c r="E6" s="25"/>
    </row>
    <row r="7" spans="1:5" ht="32.4" customHeight="1" x14ac:dyDescent="0.25">
      <c r="A7" s="448"/>
      <c r="B7" s="449"/>
      <c r="C7" s="14" t="s">
        <v>15</v>
      </c>
      <c r="D7" s="25"/>
      <c r="E7" s="20" t="s">
        <v>10</v>
      </c>
    </row>
    <row r="8" spans="1:5" ht="36" x14ac:dyDescent="0.25">
      <c r="A8" s="28" t="s">
        <v>16</v>
      </c>
      <c r="B8" s="16" t="s">
        <v>17</v>
      </c>
      <c r="C8" s="14" t="s">
        <v>18</v>
      </c>
      <c r="D8" s="20" t="s">
        <v>10</v>
      </c>
      <c r="E8" s="25"/>
    </row>
    <row r="9" spans="1:5" ht="50.4" x14ac:dyDescent="0.25">
      <c r="A9" s="28" t="s">
        <v>19</v>
      </c>
      <c r="B9" s="15" t="s">
        <v>20</v>
      </c>
      <c r="C9" s="14" t="s">
        <v>21</v>
      </c>
      <c r="D9" s="25"/>
      <c r="E9" s="20" t="s">
        <v>10</v>
      </c>
    </row>
    <row r="10" spans="1:5" ht="24" x14ac:dyDescent="0.25">
      <c r="A10" s="28" t="s">
        <v>22</v>
      </c>
      <c r="B10" s="16" t="s">
        <v>23</v>
      </c>
      <c r="C10" s="17" t="s">
        <v>24</v>
      </c>
      <c r="D10" s="18"/>
      <c r="E10" s="18"/>
    </row>
    <row r="11" spans="1:5" ht="13.8" x14ac:dyDescent="0.25">
      <c r="A11" s="27" t="s">
        <v>25</v>
      </c>
      <c r="B11" s="21" t="s">
        <v>26</v>
      </c>
      <c r="C11" s="21"/>
      <c r="D11" s="21"/>
      <c r="E11" s="22"/>
    </row>
    <row r="12" spans="1:5" ht="25.2" x14ac:dyDescent="0.25">
      <c r="A12" s="448" t="s">
        <v>27</v>
      </c>
      <c r="B12" s="450" t="s">
        <v>28</v>
      </c>
      <c r="C12" s="14" t="s">
        <v>29</v>
      </c>
      <c r="D12" s="20" t="s">
        <v>10</v>
      </c>
      <c r="E12" s="13"/>
    </row>
    <row r="13" spans="1:5" ht="26.4" customHeight="1" x14ac:dyDescent="0.25">
      <c r="A13" s="448"/>
      <c r="B13" s="450"/>
      <c r="C13" s="14" t="s">
        <v>30</v>
      </c>
      <c r="D13" s="20" t="s">
        <v>10</v>
      </c>
      <c r="E13" s="13"/>
    </row>
    <row r="14" spans="1:5" ht="21" customHeight="1" x14ac:dyDescent="0.25">
      <c r="A14" s="448"/>
      <c r="B14" s="450"/>
      <c r="C14" s="14" t="s">
        <v>31</v>
      </c>
      <c r="D14" s="26"/>
      <c r="E14" s="20" t="s">
        <v>10</v>
      </c>
    </row>
    <row r="15" spans="1:5" ht="25.2" x14ac:dyDescent="0.25">
      <c r="A15" s="28" t="s">
        <v>32</v>
      </c>
      <c r="B15" s="15" t="s">
        <v>33</v>
      </c>
      <c r="C15" s="14" t="s">
        <v>34</v>
      </c>
      <c r="D15" s="26"/>
      <c r="E15" s="20" t="s">
        <v>10</v>
      </c>
    </row>
    <row r="16" spans="1:5" ht="18" customHeight="1" x14ac:dyDescent="0.25">
      <c r="A16" s="28" t="s">
        <v>35</v>
      </c>
      <c r="B16" s="15" t="s">
        <v>36</v>
      </c>
      <c r="C16" s="18"/>
      <c r="D16" s="18"/>
      <c r="E16" s="18"/>
    </row>
  </sheetData>
  <mergeCells count="6">
    <mergeCell ref="A6:A7"/>
    <mergeCell ref="B6:B7"/>
    <mergeCell ref="A12:A14"/>
    <mergeCell ref="B12:B14"/>
    <mergeCell ref="A4:A5"/>
    <mergeCell ref="B4:B5"/>
  </mergeCells>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B2:B44"/>
  <sheetViews>
    <sheetView workbookViewId="0">
      <selection activeCell="B23" sqref="B23"/>
    </sheetView>
  </sheetViews>
  <sheetFormatPr baseColWidth="10" defaultColWidth="11.5546875" defaultRowHeight="13.2" outlineLevelRow="1" x14ac:dyDescent="0.25"/>
  <cols>
    <col min="1" max="1" width="11.5546875" style="5"/>
    <col min="2" max="2" width="138.44140625" style="5" customWidth="1"/>
    <col min="3" max="16384" width="11.5546875" style="5"/>
  </cols>
  <sheetData>
    <row r="2" spans="2:2" ht="26.4" customHeight="1" x14ac:dyDescent="0.25">
      <c r="B2" s="29" t="s">
        <v>37</v>
      </c>
    </row>
    <row r="3" spans="2:2" ht="26.4" x14ac:dyDescent="0.25">
      <c r="B3" s="3" t="s">
        <v>38</v>
      </c>
    </row>
    <row r="5" spans="2:2" ht="22.2" customHeight="1" x14ac:dyDescent="0.25">
      <c r="B5" s="11" t="s">
        <v>39</v>
      </c>
    </row>
    <row r="6" spans="2:2" ht="21" customHeight="1" x14ac:dyDescent="0.25">
      <c r="B6" s="3" t="s">
        <v>40</v>
      </c>
    </row>
    <row r="7" spans="2:2" ht="26.4" outlineLevel="1" x14ac:dyDescent="0.25">
      <c r="B7" s="3" t="s">
        <v>41</v>
      </c>
    </row>
    <row r="8" spans="2:2" ht="24" hidden="1" customHeight="1" outlineLevel="1" x14ac:dyDescent="0.25">
      <c r="B8" s="9" t="s">
        <v>42</v>
      </c>
    </row>
    <row r="9" spans="2:2" ht="16.95" customHeight="1" outlineLevel="1" x14ac:dyDescent="0.25">
      <c r="B9" s="3" t="s">
        <v>43</v>
      </c>
    </row>
    <row r="10" spans="2:2" ht="95.4" customHeight="1" outlineLevel="1" x14ac:dyDescent="0.25">
      <c r="B10" s="3" t="s">
        <v>44</v>
      </c>
    </row>
    <row r="11" spans="2:2" ht="39" customHeight="1" outlineLevel="1" x14ac:dyDescent="0.25">
      <c r="B11" s="8" t="s">
        <v>45</v>
      </c>
    </row>
    <row r="12" spans="2:2" ht="41.4" customHeight="1" outlineLevel="1" x14ac:dyDescent="0.25">
      <c r="B12" s="3" t="s">
        <v>46</v>
      </c>
    </row>
    <row r="13" spans="2:2" ht="79.2" outlineLevel="1" x14ac:dyDescent="0.25">
      <c r="B13" s="3" t="s">
        <v>47</v>
      </c>
    </row>
    <row r="14" spans="2:2" outlineLevel="1" x14ac:dyDescent="0.25"/>
    <row r="15" spans="2:2" outlineLevel="1" x14ac:dyDescent="0.25"/>
    <row r="16" spans="2:2" outlineLevel="1" x14ac:dyDescent="0.25"/>
    <row r="17" spans="2:2" outlineLevel="1" x14ac:dyDescent="0.25"/>
    <row r="18" spans="2:2" outlineLevel="1" x14ac:dyDescent="0.25"/>
    <row r="19" spans="2:2" outlineLevel="1" x14ac:dyDescent="0.25"/>
    <row r="20" spans="2:2" outlineLevel="1" x14ac:dyDescent="0.25"/>
    <row r="21" spans="2:2" outlineLevel="1" x14ac:dyDescent="0.25">
      <c r="B21" s="3"/>
    </row>
    <row r="22" spans="2:2" ht="21" customHeight="1" x14ac:dyDescent="0.25">
      <c r="B22" s="6" t="s">
        <v>48</v>
      </c>
    </row>
    <row r="23" spans="2:2" ht="66" outlineLevel="1" x14ac:dyDescent="0.25">
      <c r="B23" s="3" t="s">
        <v>49</v>
      </c>
    </row>
    <row r="24" spans="2:2" ht="12.6" customHeight="1" outlineLevel="1" x14ac:dyDescent="0.25">
      <c r="B24" s="3" t="s">
        <v>50</v>
      </c>
    </row>
    <row r="25" spans="2:2" s="1" customFormat="1" ht="35.4" customHeight="1" outlineLevel="1" x14ac:dyDescent="0.25">
      <c r="B25" s="7" t="s">
        <v>51</v>
      </c>
    </row>
    <row r="26" spans="2:2" s="1" customFormat="1" ht="20.399999999999999" customHeight="1" outlineLevel="1" x14ac:dyDescent="0.25">
      <c r="B26" s="2" t="s">
        <v>52</v>
      </c>
    </row>
    <row r="27" spans="2:2" ht="13.2" customHeight="1" outlineLevel="1" x14ac:dyDescent="0.25">
      <c r="B27" s="3"/>
    </row>
    <row r="28" spans="2:2" ht="21" customHeight="1" x14ac:dyDescent="0.25">
      <c r="B28" s="6" t="s">
        <v>53</v>
      </c>
    </row>
    <row r="29" spans="2:2" ht="26.4" outlineLevel="1" x14ac:dyDescent="0.25">
      <c r="B29" s="12" t="s">
        <v>54</v>
      </c>
    </row>
    <row r="30" spans="2:2" ht="26.4" outlineLevel="1" x14ac:dyDescent="0.25">
      <c r="B30" s="12" t="s">
        <v>55</v>
      </c>
    </row>
    <row r="31" spans="2:2" outlineLevel="1" x14ac:dyDescent="0.25">
      <c r="B31" s="7" t="s">
        <v>56</v>
      </c>
    </row>
    <row r="32" spans="2:2" x14ac:dyDescent="0.25">
      <c r="B32" s="7"/>
    </row>
    <row r="35" spans="2:2" x14ac:dyDescent="0.25">
      <c r="B35" s="10" t="s">
        <v>57</v>
      </c>
    </row>
    <row r="37" spans="2:2" ht="28.2" customHeight="1" x14ac:dyDescent="0.25">
      <c r="B37" s="4" t="s">
        <v>58</v>
      </c>
    </row>
    <row r="38" spans="2:2" ht="23.4" customHeight="1" x14ac:dyDescent="0.25">
      <c r="B38" s="3" t="s">
        <v>59</v>
      </c>
    </row>
    <row r="39" spans="2:2" ht="46.95" customHeight="1" x14ac:dyDescent="0.25">
      <c r="B39" s="3" t="s">
        <v>60</v>
      </c>
    </row>
    <row r="40" spans="2:2" ht="26.4" x14ac:dyDescent="0.25">
      <c r="B40" s="3" t="s">
        <v>61</v>
      </c>
    </row>
    <row r="42" spans="2:2" ht="19.95" customHeight="1" x14ac:dyDescent="0.25">
      <c r="B42" s="6" t="s">
        <v>53</v>
      </c>
    </row>
    <row r="43" spans="2:2" x14ac:dyDescent="0.25">
      <c r="B43" s="12" t="s">
        <v>62</v>
      </c>
    </row>
    <row r="44" spans="2:2" x14ac:dyDescent="0.25">
      <c r="B44" s="12" t="s">
        <v>63</v>
      </c>
    </row>
  </sheetData>
  <sheetProtection algorithmName="SHA-512" hashValue="Js6sUX4rWLnm/7J3SZ8CueLOSTuIQJwX/OBahjvalAUuDDwys7RJuz/huCIknwt0qkZxPY67SedZmYmoO5vt4A==" saltValue="xZakGzuOEK7tmD72+j9URQ==" spinCount="100000" sheet="1" formatCells="0" formatColumns="0" formatRows="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5"/>
  <sheetViews>
    <sheetView zoomScale="70" zoomScaleNormal="70" workbookViewId="0">
      <pane xSplit="3" ySplit="6" topLeftCell="K7" activePane="bottomRight" state="frozen"/>
      <selection pane="topRight" activeCell="E1" sqref="E1"/>
      <selection pane="bottomLeft" activeCell="A6" sqref="A6"/>
      <selection pane="bottomRight" activeCell="B25" sqref="A25:XFD25"/>
    </sheetView>
  </sheetViews>
  <sheetFormatPr baseColWidth="10" defaultColWidth="11.5546875" defaultRowHeight="15.6" outlineLevelCol="1" x14ac:dyDescent="0.25"/>
  <cols>
    <col min="1" max="1" width="11.5546875" style="38"/>
    <col min="2" max="2" width="8.6640625" style="38" customWidth="1"/>
    <col min="3" max="3" width="48.5546875" style="39" customWidth="1"/>
    <col min="4" max="4" width="13" style="39" customWidth="1"/>
    <col min="5" max="5" width="9.33203125" style="39" customWidth="1"/>
    <col min="6" max="7" width="10" style="39" customWidth="1"/>
    <col min="8" max="10" width="11.44140625" style="39" customWidth="1"/>
    <col min="11" max="11" width="12.6640625" style="39" customWidth="1"/>
    <col min="12" max="14" width="12.33203125" style="39" customWidth="1"/>
    <col min="15" max="15" width="11.6640625" style="40" customWidth="1"/>
    <col min="16" max="26" width="12.33203125" style="39" customWidth="1"/>
    <col min="27" max="27" width="34.109375" style="39" customWidth="1"/>
    <col min="28" max="28" width="11.33203125" style="39" customWidth="1" outlineLevel="1"/>
    <col min="29" max="29" width="10.88671875" style="39" customWidth="1" outlineLevel="1"/>
    <col min="30" max="30" width="11.5546875" style="39" customWidth="1" outlineLevel="1"/>
    <col min="31" max="16384" width="11.5546875" style="39"/>
  </cols>
  <sheetData>
    <row r="1" spans="1:29" ht="18" customHeight="1" x14ac:dyDescent="0.25">
      <c r="A1" s="39"/>
    </row>
    <row r="2" spans="1:29" ht="18" customHeight="1" x14ac:dyDescent="0.25">
      <c r="A2" s="39"/>
    </row>
    <row r="3" spans="1:29" ht="18" customHeight="1" x14ac:dyDescent="0.25">
      <c r="A3" s="39"/>
    </row>
    <row r="4" spans="1:29" ht="6.6" customHeight="1" thickBot="1" x14ac:dyDescent="0.3">
      <c r="A4" s="39"/>
      <c r="B4" s="39"/>
    </row>
    <row r="5" spans="1:29" ht="68.400000000000006" customHeight="1" x14ac:dyDescent="0.3">
      <c r="A5" s="41"/>
      <c r="B5" s="478" t="s">
        <v>64</v>
      </c>
      <c r="C5" s="482" t="s">
        <v>65</v>
      </c>
      <c r="D5" s="466" t="s">
        <v>66</v>
      </c>
      <c r="E5" s="482" t="s">
        <v>67</v>
      </c>
      <c r="F5" s="464" t="s">
        <v>68</v>
      </c>
      <c r="G5" s="42" t="s">
        <v>69</v>
      </c>
      <c r="H5" s="466" t="s">
        <v>70</v>
      </c>
      <c r="I5" s="468" t="s">
        <v>71</v>
      </c>
      <c r="J5" s="480" t="s">
        <v>72</v>
      </c>
      <c r="K5" s="473" t="s">
        <v>73</v>
      </c>
      <c r="L5" s="473"/>
      <c r="M5" s="473"/>
      <c r="N5" s="474"/>
      <c r="O5" s="80" t="s">
        <v>74</v>
      </c>
      <c r="P5" s="80" t="s">
        <v>75</v>
      </c>
      <c r="Q5" s="42" t="s">
        <v>76</v>
      </c>
      <c r="R5" s="42" t="s">
        <v>77</v>
      </c>
      <c r="S5" s="119" t="s">
        <v>78</v>
      </c>
      <c r="T5" s="419" t="s">
        <v>79</v>
      </c>
      <c r="U5" s="420" t="s">
        <v>80</v>
      </c>
      <c r="V5" s="420" t="s">
        <v>81</v>
      </c>
      <c r="W5" s="420" t="s">
        <v>36</v>
      </c>
      <c r="X5" s="421" t="s">
        <v>82</v>
      </c>
      <c r="Y5" s="472" t="s">
        <v>83</v>
      </c>
      <c r="Z5" s="473"/>
      <c r="AA5" s="474"/>
      <c r="AB5" s="484" t="s">
        <v>84</v>
      </c>
      <c r="AC5" s="474" t="s">
        <v>85</v>
      </c>
    </row>
    <row r="6" spans="1:29" ht="16.2" thickBot="1" x14ac:dyDescent="0.35">
      <c r="A6" s="41"/>
      <c r="B6" s="479"/>
      <c r="C6" s="483"/>
      <c r="D6" s="467"/>
      <c r="E6" s="483"/>
      <c r="F6" s="465"/>
      <c r="G6" s="76">
        <f>ROUND(G27+G48+G69+G90+G132,1)</f>
        <v>0</v>
      </c>
      <c r="H6" s="467"/>
      <c r="I6" s="469"/>
      <c r="J6" s="481"/>
      <c r="K6" s="476"/>
      <c r="L6" s="476"/>
      <c r="M6" s="476"/>
      <c r="N6" s="477"/>
      <c r="O6" s="92"/>
      <c r="P6" s="43">
        <f>P27+P48+P69+P90+P132</f>
        <v>202</v>
      </c>
      <c r="Q6" s="81">
        <f t="shared" ref="Q6:X6" si="0">Q27+Q48+Q69+Q90+Q132</f>
        <v>0</v>
      </c>
      <c r="R6" s="81">
        <f t="shared" si="0"/>
        <v>202</v>
      </c>
      <c r="S6" s="120">
        <f t="shared" si="0"/>
        <v>202</v>
      </c>
      <c r="T6" s="422">
        <f>T27+T48+T69+T90+T132</f>
        <v>0</v>
      </c>
      <c r="U6" s="81">
        <f t="shared" si="0"/>
        <v>0</v>
      </c>
      <c r="V6" s="81">
        <f t="shared" si="0"/>
        <v>0</v>
      </c>
      <c r="W6" s="81">
        <f t="shared" si="0"/>
        <v>0</v>
      </c>
      <c r="X6" s="81">
        <f t="shared" si="0"/>
        <v>0</v>
      </c>
      <c r="Y6" s="475"/>
      <c r="Z6" s="476"/>
      <c r="AA6" s="477"/>
      <c r="AB6" s="485"/>
      <c r="AC6" s="477"/>
    </row>
    <row r="7" spans="1:29" ht="15.6" customHeight="1" thickBot="1" x14ac:dyDescent="0.3">
      <c r="A7" s="484" t="s">
        <v>86</v>
      </c>
      <c r="B7" s="95"/>
      <c r="C7" s="62" t="s">
        <v>87</v>
      </c>
      <c r="D7" s="87" t="s">
        <v>88</v>
      </c>
      <c r="E7" s="63"/>
      <c r="F7" s="64" t="s">
        <v>89</v>
      </c>
      <c r="G7" s="77">
        <v>12</v>
      </c>
      <c r="H7" s="72">
        <v>14</v>
      </c>
      <c r="I7" s="100">
        <v>30</v>
      </c>
      <c r="J7" s="89"/>
      <c r="K7" s="470"/>
      <c r="L7" s="458"/>
      <c r="M7" s="458"/>
      <c r="N7" s="471"/>
      <c r="O7" s="428">
        <f>IF(OR(I7="",F7=Paramétrage!$C$9,F7=Paramétrage!$C$12,F7=Paramétrage!$C$15,F7=Paramétrage!$C$18,F7=[1]Paramétrage!$C$23,F7=Paramétrage!$C$25,J7="Mut+ext"),"",ROUNDUP(H7/I7,0))</f>
        <v>1</v>
      </c>
      <c r="P7" s="101">
        <f>IF(F7="",0,IF(OR(J7="Mut+ext",VLOOKUP(F7,Paramétrage!$C$6:$E$27,2,0)=0),0,IF(I7="","saisir capacité",G7*O7*VLOOKUP(F7,Paramétrage!$C$6:$E$27,2,0))))</f>
        <v>12</v>
      </c>
      <c r="Q7" s="102"/>
      <c r="R7" s="103">
        <f t="shared" ref="R7:R26" si="1">IF(ISERROR(P7+Q7)=TRUE,P7,P7+Q7)</f>
        <v>12</v>
      </c>
      <c r="S7" s="104">
        <f>IF(F7="",0,IF(ISERROR(Q7+P7*VLOOKUP(F7,Paramétrage!$C$6:$E$27,3,0))=TRUE,R7,Q7+P7*VLOOKUP(F7,Paramétrage!$C$6:$E$27,3,0)))</f>
        <v>12</v>
      </c>
      <c r="T7" s="72">
        <v>12</v>
      </c>
      <c r="U7" s="72"/>
      <c r="V7" s="72"/>
      <c r="W7" s="72"/>
      <c r="X7" s="431">
        <f>SUM(T7:W7)</f>
        <v>12</v>
      </c>
      <c r="Y7" s="457"/>
      <c r="Z7" s="458"/>
      <c r="AA7" s="459"/>
      <c r="AB7" s="105">
        <f>IF(B7="",0,IF(D7="",0,IF(SUMIF(B7:B26,B7,H7:H26)=0,0,IF(D7="Obligatoire",AC7/H7,IF(E7="",AC7/SUMIF(B7:B26,B7,H7:H26),AC7/(SUMIF(B7:B26,B7,H7:H26)/E7))))))</f>
        <v>0</v>
      </c>
      <c r="AC7" s="106">
        <f>G7*H7</f>
        <v>168</v>
      </c>
    </row>
    <row r="8" spans="1:29" ht="16.2" thickBot="1" x14ac:dyDescent="0.3">
      <c r="A8" s="486"/>
      <c r="B8" s="96"/>
      <c r="C8" s="65" t="s">
        <v>90</v>
      </c>
      <c r="D8" s="87" t="s">
        <v>88</v>
      </c>
      <c r="E8" s="66"/>
      <c r="F8" s="67" t="s">
        <v>89</v>
      </c>
      <c r="G8" s="77">
        <v>12</v>
      </c>
      <c r="H8" s="72">
        <v>14</v>
      </c>
      <c r="I8" s="100">
        <v>30</v>
      </c>
      <c r="J8" s="70"/>
      <c r="K8" s="454"/>
      <c r="L8" s="454"/>
      <c r="M8" s="454"/>
      <c r="N8" s="456"/>
      <c r="O8" s="428">
        <f>IF(OR(I8="",F8=Paramétrage!$C$9,F8=Paramétrage!$C$12,F8=Paramétrage!$C$15,F8=Paramétrage!$C$18,F8=[1]Paramétrage!$C$23,F8=Paramétrage!$C$25,J8="Mut+ext"),"",ROUNDUP(H8/I8,0))</f>
        <v>1</v>
      </c>
      <c r="P8" s="46">
        <f>IF(F8="",0,IF(OR(J8="Mut+ext",VLOOKUP(F8,Paramétrage!$C$6:$E$27,2,0)=0),0,IF(I8="","saisir capacité",G8*O8*VLOOKUP(F8,Paramétrage!$C$6:$E$27,2,0))))</f>
        <v>12</v>
      </c>
      <c r="Q8" s="69"/>
      <c r="R8" s="44">
        <f t="shared" si="1"/>
        <v>12</v>
      </c>
      <c r="S8" s="61">
        <f>IF(F8="",0,IF(ISERROR(Q8+P8*VLOOKUP(F8,Paramétrage!$C$6:$E$27,3,0))=TRUE,R8,Q8+P8*VLOOKUP(F8,Paramétrage!$C$6:$E$27,3,0)))</f>
        <v>12</v>
      </c>
      <c r="T8" s="73"/>
      <c r="U8" s="73"/>
      <c r="V8" s="73">
        <v>12</v>
      </c>
      <c r="W8" s="73"/>
      <c r="X8" s="432">
        <f t="shared" ref="X8:X26" si="2">SUM(T8:W8)</f>
        <v>12</v>
      </c>
      <c r="Y8" s="453"/>
      <c r="Z8" s="454"/>
      <c r="AA8" s="455"/>
      <c r="AB8" s="60">
        <f>IF(B8="",0,IF(D8="",0,IF(SUMIF(B7:B26,B8,H7:H26)=0,0,IF(D8="Obligatoire",AC8/H8,IF(E8="",AC8/SUMIF(B7:B26,B8,H7:H26),AC8/(SUMIF(B7:B26,B8,H7:H26)/E8))))))</f>
        <v>0</v>
      </c>
      <c r="AC8" s="45">
        <f>G8*H8</f>
        <v>168</v>
      </c>
    </row>
    <row r="9" spans="1:29" ht="16.2" thickBot="1" x14ac:dyDescent="0.3">
      <c r="A9" s="486"/>
      <c r="B9" s="96"/>
      <c r="C9" s="65" t="s">
        <v>91</v>
      </c>
      <c r="D9" s="87" t="s">
        <v>88</v>
      </c>
      <c r="E9" s="66"/>
      <c r="F9" s="67" t="s">
        <v>89</v>
      </c>
      <c r="G9" s="77">
        <v>12</v>
      </c>
      <c r="H9" s="72">
        <v>14</v>
      </c>
      <c r="I9" s="100">
        <v>30</v>
      </c>
      <c r="J9" s="70"/>
      <c r="K9" s="454"/>
      <c r="L9" s="454"/>
      <c r="M9" s="454"/>
      <c r="N9" s="456"/>
      <c r="O9" s="428">
        <f>IF(OR(I9="",F9=Paramétrage!$C$9,F9=Paramétrage!$C$12,F9=Paramétrage!$C$15,F9=Paramétrage!$C$18,F9=[1]Paramétrage!$C$23,F9=Paramétrage!$C$25,J9="Mut+ext"),"",ROUNDUP(H9/I9,0))</f>
        <v>1</v>
      </c>
      <c r="P9" s="46">
        <f>IF(F9="",0,IF(OR(J9="Mut+ext",VLOOKUP(F9,Paramétrage!$C$6:$E$27,2,0)=0),0,IF(I9="","saisir capacité",G9*O9*VLOOKUP(F9,Paramétrage!$C$6:$E$27,2,0))))</f>
        <v>12</v>
      </c>
      <c r="Q9" s="69"/>
      <c r="R9" s="44">
        <f t="shared" si="1"/>
        <v>12</v>
      </c>
      <c r="S9" s="61">
        <f>IF(F9="",0,IF(ISERROR(Q9+P9*VLOOKUP(F9,Paramétrage!$C$6:$E$27,3,0))=TRUE,R9,Q9+P9*VLOOKUP(F9,Paramétrage!$C$6:$E$27,3,0)))</f>
        <v>12</v>
      </c>
      <c r="T9" s="73">
        <v>12</v>
      </c>
      <c r="U9" s="73"/>
      <c r="V9" s="73"/>
      <c r="W9" s="73"/>
      <c r="X9" s="432">
        <f t="shared" si="2"/>
        <v>12</v>
      </c>
      <c r="Y9" s="453"/>
      <c r="Z9" s="454"/>
      <c r="AA9" s="455"/>
      <c r="AB9" s="60">
        <f>IF(B9="",0,IF(D9="",0,IF(SUMIF(B7:B26,B9,H7:H26)=0,0,IF(D9="Obligatoire",AC9/H9,IF(E9="",AC9/SUMIF(B7:B26,B9,H7:H26),AC9/(SUMIF(B7:B26,B9,H7:H26)/E9))))))</f>
        <v>0</v>
      </c>
      <c r="AC9" s="45">
        <f>G9*H9</f>
        <v>168</v>
      </c>
    </row>
    <row r="10" spans="1:29" ht="16.2" thickBot="1" x14ac:dyDescent="0.3">
      <c r="A10" s="486"/>
      <c r="B10" s="97"/>
      <c r="C10" s="68" t="s">
        <v>92</v>
      </c>
      <c r="D10" s="87" t="s">
        <v>88</v>
      </c>
      <c r="E10" s="66"/>
      <c r="F10" s="67" t="s">
        <v>89</v>
      </c>
      <c r="G10" s="77">
        <v>12</v>
      </c>
      <c r="H10" s="72">
        <v>14</v>
      </c>
      <c r="I10" s="100">
        <v>30</v>
      </c>
      <c r="J10" s="70"/>
      <c r="K10" s="454"/>
      <c r="L10" s="454"/>
      <c r="M10" s="454"/>
      <c r="N10" s="456"/>
      <c r="O10" s="428">
        <f>IF(OR(I10="",F10=Paramétrage!$C$9,F10=Paramétrage!$C$12,F10=Paramétrage!$C$15,F10=Paramétrage!$C$18,F10=[1]Paramétrage!$C$23,F10=Paramétrage!$C$25,J10="Mut+ext"),"",ROUNDUP(H10/I10,0))</f>
        <v>1</v>
      </c>
      <c r="P10" s="46">
        <f>IF(F10="",0,IF(OR(J10="Mut+ext",VLOOKUP(F10,Paramétrage!$C$6:$E$27,2,0)=0),0,IF(I10="","saisir capacité",G10*O10*VLOOKUP(F10,Paramétrage!$C$6:$E$27,2,0))))</f>
        <v>12</v>
      </c>
      <c r="Q10" s="69"/>
      <c r="R10" s="44">
        <f t="shared" si="1"/>
        <v>12</v>
      </c>
      <c r="S10" s="61">
        <f>IF(F10="",0,IF(ISERROR(Q10+P10*VLOOKUP(F10,Paramétrage!$C$6:$E$27,3,0))=TRUE,R10,Q10+P10*VLOOKUP(F10,Paramétrage!$C$6:$E$27,3,0)))</f>
        <v>12</v>
      </c>
      <c r="T10" s="73"/>
      <c r="U10" s="73">
        <v>12</v>
      </c>
      <c r="V10" s="73"/>
      <c r="W10" s="73"/>
      <c r="X10" s="432">
        <f t="shared" si="2"/>
        <v>12</v>
      </c>
      <c r="Y10" s="453"/>
      <c r="Z10" s="454"/>
      <c r="AA10" s="455"/>
      <c r="AB10" s="60">
        <f>IF(B10="",0,IF(D10="",0,IF(SUMIF(B7:B26,B10,H7:H26)=0,0,IF(D10="Obligatoire",AC10/H10,IF(E10="",AC10/SUMIF(B7:B26,B10,H7:H26),AC10/(SUMIF(B7:B26,B10,H7:H26)/E10))))))</f>
        <v>0</v>
      </c>
      <c r="AC10" s="45">
        <f>G10*H10</f>
        <v>168</v>
      </c>
    </row>
    <row r="11" spans="1:29" ht="16.2" thickBot="1" x14ac:dyDescent="0.3">
      <c r="A11" s="486"/>
      <c r="B11" s="97"/>
      <c r="C11" s="68" t="s">
        <v>93</v>
      </c>
      <c r="D11" s="87" t="s">
        <v>88</v>
      </c>
      <c r="E11" s="66"/>
      <c r="F11" s="67" t="s">
        <v>94</v>
      </c>
      <c r="G11" s="78">
        <v>16</v>
      </c>
      <c r="H11" s="72">
        <v>14</v>
      </c>
      <c r="I11" s="100">
        <v>300</v>
      </c>
      <c r="J11" s="70" t="s">
        <v>95</v>
      </c>
      <c r="K11" s="454" t="s">
        <v>96</v>
      </c>
      <c r="L11" s="454"/>
      <c r="M11" s="454"/>
      <c r="N11" s="456"/>
      <c r="O11" s="428" t="str">
        <f>IF(OR(I11="",F11=Paramétrage!$C$9,F11=Paramétrage!$C$12,F11=Paramétrage!$C$15,F11=Paramétrage!$C$18,F11=[1]Paramétrage!$C$23,F11=Paramétrage!$C$25,J11="Mut+ext"),"",ROUNDUP(H11/I11,0))</f>
        <v/>
      </c>
      <c r="P11" s="46">
        <f>IF(F11="",0,IF(OR(J11="Mut+ext",VLOOKUP(F11,Paramétrage!$C$6:$E$27,2,0)=0),0,IF(I11="","saisir capacité",G11*O11*VLOOKUP(F11,Paramétrage!$C$6:$E$27,2,0))))</f>
        <v>0</v>
      </c>
      <c r="Q11" s="69"/>
      <c r="R11" s="44">
        <f t="shared" ref="R11:R22" si="3">IF(ISERROR(P11+Q11)=TRUE,P11,P11+Q11)</f>
        <v>0</v>
      </c>
      <c r="S11" s="61">
        <f>IF(F11="",0,IF(ISERROR(Q11+P11*VLOOKUP(F11,Paramétrage!$C$6:$E$27,3,0))=TRUE,R11,Q11+P11*VLOOKUP(F11,Paramétrage!$C$6:$E$27,3,0)))</f>
        <v>0</v>
      </c>
      <c r="T11" s="73"/>
      <c r="U11" s="73"/>
      <c r="V11" s="73"/>
      <c r="W11" s="73"/>
      <c r="X11" s="432">
        <f t="shared" si="2"/>
        <v>0</v>
      </c>
      <c r="Y11" s="453"/>
      <c r="Z11" s="454"/>
      <c r="AA11" s="455"/>
      <c r="AB11" s="60">
        <f>IF(B11="",0,IF(D11="",0,IF(SUMIF(B8:B27,B11,H8:H27)=0,0,IF(D11="Obligatoire",AC11/H11,IF(E11="",AC11/SUMIF(B8:B27,B11,H8:H27),AC11/(SUMIF(B8:B27,B11,H8:H27)/E11))))))</f>
        <v>0</v>
      </c>
      <c r="AC11" s="45">
        <f t="shared" ref="AC11:AC22" si="4">G11*H11</f>
        <v>224</v>
      </c>
    </row>
    <row r="12" spans="1:29" ht="16.2" thickBot="1" x14ac:dyDescent="0.3">
      <c r="A12" s="486"/>
      <c r="B12" s="97"/>
      <c r="C12" s="68" t="s">
        <v>97</v>
      </c>
      <c r="D12" s="87" t="s">
        <v>88</v>
      </c>
      <c r="E12" s="66"/>
      <c r="F12" s="67" t="s">
        <v>89</v>
      </c>
      <c r="G12" s="78">
        <v>20</v>
      </c>
      <c r="H12" s="72">
        <v>14</v>
      </c>
      <c r="I12" s="100">
        <v>30</v>
      </c>
      <c r="J12" s="70"/>
      <c r="K12" s="454"/>
      <c r="L12" s="454"/>
      <c r="M12" s="454"/>
      <c r="N12" s="456"/>
      <c r="O12" s="428">
        <f>IF(OR(I12="",F12=Paramétrage!$C$9,F12=Paramétrage!$C$12,F12=Paramétrage!$C$15,F12=Paramétrage!$C$18,F12=[1]Paramétrage!$C$23,F12=Paramétrage!$C$25,J12="Mut+ext"),"",ROUNDUP(H12/I12,0))</f>
        <v>1</v>
      </c>
      <c r="P12" s="46">
        <f>IF(F12="",0,IF(OR(J12="Mut+ext",VLOOKUP(F12,Paramétrage!$C$6:$E$27,2,0)=0),0,IF(I12="","saisir capacité",G12*O12*VLOOKUP(F12,Paramétrage!$C$6:$E$27,2,0))))</f>
        <v>20</v>
      </c>
      <c r="Q12" s="69"/>
      <c r="R12" s="44">
        <f t="shared" si="3"/>
        <v>20</v>
      </c>
      <c r="S12" s="61">
        <f>IF(F12="",0,IF(ISERROR(Q12+P12*VLOOKUP(F12,Paramétrage!$C$6:$E$27,3,0))=TRUE,R12,Q12+P12*VLOOKUP(F12,Paramétrage!$C$6:$E$27,3,0)))</f>
        <v>20</v>
      </c>
      <c r="T12" s="73">
        <v>20</v>
      </c>
      <c r="U12" s="73"/>
      <c r="V12" s="73"/>
      <c r="W12" s="73"/>
      <c r="X12" s="432">
        <f t="shared" si="2"/>
        <v>20</v>
      </c>
      <c r="Y12" s="453"/>
      <c r="Z12" s="454"/>
      <c r="AA12" s="455"/>
      <c r="AB12" s="60">
        <f>IF(B12="",0,IF(D12="",0,IF(SUMIF(B9:B28,B12,H9:H28)=0,0,IF(D12="Obligatoire",AC12/H12,IF(E12="",AC12/SUMIF(B9:B28,B12,H9:H28),AC12/(SUMIF(B9:B28,B12,H9:H28)/E12))))))</f>
        <v>0</v>
      </c>
      <c r="AC12" s="45">
        <f t="shared" si="4"/>
        <v>280</v>
      </c>
    </row>
    <row r="13" spans="1:29" ht="16.2" thickBot="1" x14ac:dyDescent="0.3">
      <c r="A13" s="486"/>
      <c r="B13" s="97"/>
      <c r="C13" s="68" t="s">
        <v>98</v>
      </c>
      <c r="D13" s="87" t="s">
        <v>88</v>
      </c>
      <c r="E13" s="66"/>
      <c r="F13" s="67" t="s">
        <v>94</v>
      </c>
      <c r="G13" s="78">
        <v>16</v>
      </c>
      <c r="H13" s="72">
        <v>14</v>
      </c>
      <c r="I13" s="100">
        <v>30</v>
      </c>
      <c r="J13" s="70" t="s">
        <v>95</v>
      </c>
      <c r="K13" s="454" t="s">
        <v>99</v>
      </c>
      <c r="L13" s="454"/>
      <c r="M13" s="454"/>
      <c r="N13" s="456"/>
      <c r="O13" s="428" t="str">
        <f>IF(OR(I13="",F13=Paramétrage!$C$9,F13=Paramétrage!$C$12,F13=Paramétrage!$C$15,F13=Paramétrage!$C$18,F13=[1]Paramétrage!$C$23,F13=Paramétrage!$C$25,J13="Mut+ext"),"",ROUNDUP(H13/I13,0))</f>
        <v/>
      </c>
      <c r="P13" s="46">
        <f>IF(F13="",0,IF(OR(J13="Mut+ext",VLOOKUP(F13,Paramétrage!$C$6:$E$27,2,0)=0),0,IF(I13="","saisir capacité",G13*O13*VLOOKUP(F13,Paramétrage!$C$6:$E$27,2,0))))</f>
        <v>0</v>
      </c>
      <c r="Q13" s="69"/>
      <c r="R13" s="44">
        <f t="shared" ref="R13:R15" si="5">IF(ISERROR(P13+Q13)=TRUE,P13,P13+Q13)</f>
        <v>0</v>
      </c>
      <c r="S13" s="61">
        <f>IF(F13="",0,IF(ISERROR(Q13+P13*VLOOKUP(F13,Paramétrage!$C$6:$E$27,3,0))=TRUE,R13,Q13+P13*VLOOKUP(F13,Paramétrage!$C$6:$E$27,3,0)))</f>
        <v>0</v>
      </c>
      <c r="T13" s="73"/>
      <c r="U13" s="73"/>
      <c r="V13" s="73"/>
      <c r="W13" s="73"/>
      <c r="X13" s="432">
        <f t="shared" si="2"/>
        <v>0</v>
      </c>
      <c r="Y13" s="453"/>
      <c r="Z13" s="454"/>
      <c r="AA13" s="455"/>
      <c r="AB13" s="60">
        <f t="shared" ref="AB13:AB14" si="6">IF(B13="",0,IF(D13="",0,IF(SUMIF(B10:B29,B13,H10:H29)=0,0,IF(D13="Obligatoire",AC13/H13,IF(E13="",AC13/SUMIF(B10:B29,B13,H10:H29),AC13/(SUMIF(B10:B29,B13,H10:H29)/E13))))))</f>
        <v>0</v>
      </c>
      <c r="AC13" s="45">
        <f t="shared" ref="AC13:AC15" si="7">G13*H13</f>
        <v>224</v>
      </c>
    </row>
    <row r="14" spans="1:29" ht="16.2" thickBot="1" x14ac:dyDescent="0.3">
      <c r="A14" s="486"/>
      <c r="B14" s="97"/>
      <c r="C14" s="68" t="s">
        <v>100</v>
      </c>
      <c r="D14" s="87" t="s">
        <v>88</v>
      </c>
      <c r="E14" s="66"/>
      <c r="F14" s="67" t="s">
        <v>94</v>
      </c>
      <c r="G14" s="443">
        <v>16</v>
      </c>
      <c r="H14" s="72">
        <v>14</v>
      </c>
      <c r="I14" s="100">
        <v>30</v>
      </c>
      <c r="J14" s="70" t="s">
        <v>95</v>
      </c>
      <c r="K14" s="454" t="s">
        <v>99</v>
      </c>
      <c r="L14" s="454"/>
      <c r="M14" s="454"/>
      <c r="N14" s="456"/>
      <c r="O14" s="428" t="str">
        <f>IF(OR(I14="",F14=Paramétrage!$C$9,F14=Paramétrage!$C$12,F14=Paramétrage!$C$15,F14=Paramétrage!$C$18,F14=[1]Paramétrage!$C$23,F14=Paramétrage!$C$25,J14="Mut+ext"),"",ROUNDUP(H14/I14,0))</f>
        <v/>
      </c>
      <c r="P14" s="46">
        <f>IF(F14="",0,IF(OR(J14="Mut+ext",VLOOKUP(F14,Paramétrage!$C$6:$E$27,2,0)=0),0,IF(I14="","saisir capacité",G14*O14*VLOOKUP(F14,Paramétrage!$C$6:$E$27,2,0))))</f>
        <v>0</v>
      </c>
      <c r="Q14" s="69"/>
      <c r="R14" s="44">
        <f t="shared" si="5"/>
        <v>0</v>
      </c>
      <c r="S14" s="61">
        <f>IF(F14="",0,IF(ISERROR(Q14+P14*VLOOKUP(F14,Paramétrage!$C$6:$E$27,3,0))=TRUE,R14,Q14+P14*VLOOKUP(F14,Paramétrage!$C$6:$E$27,3,0)))</f>
        <v>0</v>
      </c>
      <c r="T14" s="73"/>
      <c r="U14" s="73"/>
      <c r="V14" s="73"/>
      <c r="W14" s="73"/>
      <c r="X14" s="432">
        <f t="shared" si="2"/>
        <v>0</v>
      </c>
      <c r="Y14" s="453"/>
      <c r="Z14" s="454"/>
      <c r="AA14" s="455"/>
      <c r="AB14" s="60">
        <f t="shared" si="6"/>
        <v>0</v>
      </c>
      <c r="AC14" s="45">
        <f t="shared" si="7"/>
        <v>224</v>
      </c>
    </row>
    <row r="15" spans="1:29" ht="16.2" thickBot="1" x14ac:dyDescent="0.3">
      <c r="A15" s="486"/>
      <c r="B15" s="97"/>
      <c r="C15" s="68" t="s">
        <v>101</v>
      </c>
      <c r="D15" s="87" t="s">
        <v>88</v>
      </c>
      <c r="E15" s="66"/>
      <c r="F15" s="67" t="s">
        <v>89</v>
      </c>
      <c r="G15" s="78">
        <v>12</v>
      </c>
      <c r="H15" s="72">
        <v>14</v>
      </c>
      <c r="I15" s="100">
        <v>30</v>
      </c>
      <c r="J15" s="70"/>
      <c r="K15" s="454"/>
      <c r="L15" s="454"/>
      <c r="M15" s="454"/>
      <c r="N15" s="456"/>
      <c r="O15" s="428">
        <f>IF(OR(I15="",F15=Paramétrage!$C$9,F15=Paramétrage!$C$12,F15=Paramétrage!$C$15,F15=Paramétrage!$C$18,F15=[1]Paramétrage!$C$23,F15=Paramétrage!$C$25,J15="Mut+ext"),"",ROUNDUP(H15/I15,0))</f>
        <v>1</v>
      </c>
      <c r="P15" s="46">
        <f>IF(F15="",0,IF(OR(J15="Mut+ext",VLOOKUP(F15,Paramétrage!$C$6:$E$27,2,0)=0),0,IF(I15="","saisir capacité",G15*O15*VLOOKUP(F15,Paramétrage!$C$6:$E$27,2,0))))</f>
        <v>12</v>
      </c>
      <c r="Q15" s="69"/>
      <c r="R15" s="44">
        <f t="shared" si="5"/>
        <v>12</v>
      </c>
      <c r="S15" s="61">
        <f>IF(F15="",0,IF(ISERROR(Q15+P15*VLOOKUP(F15,Paramétrage!$C$6:$E$27,3,0))=TRUE,R15,Q15+P15*VLOOKUP(F15,Paramétrage!$C$6:$E$27,3,0)))</f>
        <v>12</v>
      </c>
      <c r="T15" s="73">
        <v>12</v>
      </c>
      <c r="U15" s="73"/>
      <c r="V15" s="73"/>
      <c r="W15" s="73"/>
      <c r="X15" s="432">
        <f t="shared" si="2"/>
        <v>12</v>
      </c>
      <c r="Y15" s="453"/>
      <c r="Z15" s="454"/>
      <c r="AA15" s="455"/>
      <c r="AB15" s="60">
        <f>IF(B15="",0,IF(D15="",0,IF(SUMIF(B12:B38,B15,H12:H38)=0,0,IF(D15="Obligatoire",AC15/H15,IF(E15="",AC15/SUMIF(B12:B38,B15,H12:H38),AC15/(SUMIF(B12:B38,B15,H12:H38)/E15))))))</f>
        <v>0</v>
      </c>
      <c r="AC15" s="45">
        <f t="shared" si="7"/>
        <v>168</v>
      </c>
    </row>
    <row r="16" spans="1:29" ht="16.2" thickBot="1" x14ac:dyDescent="0.3">
      <c r="A16" s="486"/>
      <c r="B16" s="97"/>
      <c r="C16" s="68" t="s">
        <v>102</v>
      </c>
      <c r="D16" s="87" t="s">
        <v>88</v>
      </c>
      <c r="E16" s="66"/>
      <c r="F16" s="67" t="s">
        <v>103</v>
      </c>
      <c r="G16" s="78">
        <v>20</v>
      </c>
      <c r="H16" s="72">
        <v>14</v>
      </c>
      <c r="I16" s="100">
        <v>30</v>
      </c>
      <c r="J16" s="70"/>
      <c r="K16" s="454"/>
      <c r="L16" s="454"/>
      <c r="M16" s="454"/>
      <c r="N16" s="456"/>
      <c r="O16" s="428" t="str">
        <f>IF(OR(I16="",F16=Paramétrage!$C$9,F16=Paramétrage!$C$12,F16=Paramétrage!$C$15,F16=Paramétrage!$C$18,F16=[1]Paramétrage!$C$23,F16=Paramétrage!$C$25,J16="Mut+ext"),"",ROUNDUP(H16/I16,0))</f>
        <v/>
      </c>
      <c r="P16" s="46">
        <f>IF(F16="",0,IF(OR(J16="Mut+ext",VLOOKUP(F16,Paramétrage!$C$6:$E$27,2,0)=0),0,IF(I16="","saisir capacité",G16*O16*VLOOKUP(F16,Paramétrage!$C$6:$E$27,2,0))))</f>
        <v>0</v>
      </c>
      <c r="Q16" s="69"/>
      <c r="R16" s="44">
        <f t="shared" si="3"/>
        <v>0</v>
      </c>
      <c r="S16" s="61">
        <f>IF(F16="",0,IF(ISERROR(Q16+P16*VLOOKUP(F16,Paramétrage!$C$6:$E$27,3,0))=TRUE,R16,Q16+P16*VLOOKUP(F16,Paramétrage!$C$6:$E$27,3,0)))</f>
        <v>0</v>
      </c>
      <c r="T16" s="73"/>
      <c r="U16" s="73"/>
      <c r="V16" s="73"/>
      <c r="W16" s="73"/>
      <c r="X16" s="432">
        <f t="shared" si="2"/>
        <v>0</v>
      </c>
      <c r="Y16" s="453"/>
      <c r="Z16" s="454"/>
      <c r="AA16" s="455"/>
      <c r="AB16" s="60">
        <f>IF(B16="",0,IF(D16="",0,IF(SUMIF(B10:B29,B16,H10:H29)=0,0,IF(D16="Obligatoire",AC16/H16,IF(E16="",AC16/SUMIF(B10:B29,B16,H10:H29),AC16/(SUMIF(B10:B29,B16,H10:H29)/E16))))))</f>
        <v>0</v>
      </c>
      <c r="AC16" s="45">
        <f t="shared" si="4"/>
        <v>280</v>
      </c>
    </row>
    <row r="17" spans="1:29" ht="16.2" thickBot="1" x14ac:dyDescent="0.3">
      <c r="A17" s="486"/>
      <c r="B17" s="97"/>
      <c r="C17" s="68" t="s">
        <v>104</v>
      </c>
      <c r="D17" s="87" t="s">
        <v>88</v>
      </c>
      <c r="E17" s="66"/>
      <c r="F17" s="67" t="s">
        <v>89</v>
      </c>
      <c r="G17" s="78">
        <v>12</v>
      </c>
      <c r="H17" s="72">
        <v>14</v>
      </c>
      <c r="I17" s="100">
        <v>30</v>
      </c>
      <c r="J17" s="70"/>
      <c r="K17" s="454"/>
      <c r="L17" s="454"/>
      <c r="M17" s="454"/>
      <c r="N17" s="456"/>
      <c r="O17" s="428">
        <f>IF(OR(I17="",F17=Paramétrage!$C$9,F17=Paramétrage!$C$12,F17=Paramétrage!$C$15,F17=Paramétrage!$C$18,F17=[1]Paramétrage!$C$23,F17=Paramétrage!$C$25,J17="Mut+ext"),"",ROUNDUP(H17/I17,0))</f>
        <v>1</v>
      </c>
      <c r="P17" s="46">
        <f>IF(F17="",0,IF(OR(J17="Mut+ext",VLOOKUP(F17,Paramétrage!$C$6:$E$27,2,0)=0),0,IF(I17="","saisir capacité",G17*O17*VLOOKUP(F17,Paramétrage!$C$6:$E$27,2,0))))</f>
        <v>12</v>
      </c>
      <c r="Q17" s="69"/>
      <c r="R17" s="44">
        <f t="shared" si="3"/>
        <v>12</v>
      </c>
      <c r="S17" s="61">
        <f>IF(F17="",0,IF(ISERROR(Q17+P17*VLOOKUP(F17,Paramétrage!$C$6:$E$27,3,0))=TRUE,R17,Q17+P17*VLOOKUP(F17,Paramétrage!$C$6:$E$27,3,0)))</f>
        <v>12</v>
      </c>
      <c r="T17" s="73"/>
      <c r="U17" s="73"/>
      <c r="V17" s="73">
        <v>12</v>
      </c>
      <c r="W17" s="73"/>
      <c r="X17" s="432">
        <f t="shared" si="2"/>
        <v>12</v>
      </c>
      <c r="Y17" s="453"/>
      <c r="Z17" s="454"/>
      <c r="AA17" s="455"/>
      <c r="AB17" s="60">
        <f>IF(B17="",0,IF(D17="",0,IF(SUMIF(B11:B42,B17,H11:H42)=0,0,IF(D17="Obligatoire",AC17/H17,IF(E17="",AC17/SUMIF(B11:B42,B17,H11:H42),AC17/(SUMIF(B11:B42,B17,H11:H42)/E17))))))</f>
        <v>0</v>
      </c>
      <c r="AC17" s="45">
        <f t="shared" si="4"/>
        <v>168</v>
      </c>
    </row>
    <row r="18" spans="1:29" ht="16.2" thickBot="1" x14ac:dyDescent="0.3">
      <c r="A18" s="486"/>
      <c r="B18" s="97"/>
      <c r="C18" s="68" t="s">
        <v>105</v>
      </c>
      <c r="D18" s="87" t="s">
        <v>88</v>
      </c>
      <c r="E18" s="66"/>
      <c r="F18" s="67" t="s">
        <v>89</v>
      </c>
      <c r="G18" s="78">
        <v>24</v>
      </c>
      <c r="H18" s="72">
        <v>14</v>
      </c>
      <c r="I18" s="100">
        <v>30</v>
      </c>
      <c r="J18" s="70"/>
      <c r="K18" s="454"/>
      <c r="L18" s="454"/>
      <c r="M18" s="454"/>
      <c r="N18" s="456"/>
      <c r="O18" s="428">
        <f>IF(OR(I18="",F18=Paramétrage!$C$9,F18=Paramétrage!$C$12,F18=Paramétrage!$C$15,F18=Paramétrage!$C$18,F18=[1]Paramétrage!$C$23,F18=Paramétrage!$C$25,J18="Mut+ext"),"",ROUNDUP(H18/I18,0))</f>
        <v>1</v>
      </c>
      <c r="P18" s="46">
        <f>IF(F18="",0,IF(OR(J18="Mut+ext",VLOOKUP(F18,Paramétrage!$C$6:$E$27,2,0)=0),0,IF(I18="","saisir capacité",G18*O18*VLOOKUP(F18,Paramétrage!$C$6:$E$27,2,0))))</f>
        <v>24</v>
      </c>
      <c r="Q18" s="69"/>
      <c r="R18" s="44">
        <f t="shared" si="3"/>
        <v>24</v>
      </c>
      <c r="S18" s="61">
        <f>IF(F18="",0,IF(ISERROR(Q18+P18*VLOOKUP(F18,Paramétrage!$C$6:$E$27,3,0))=TRUE,R18,Q18+P18*VLOOKUP(F18,Paramétrage!$C$6:$E$27,3,0)))</f>
        <v>24</v>
      </c>
      <c r="T18" s="73">
        <v>24</v>
      </c>
      <c r="U18" s="73"/>
      <c r="V18" s="73"/>
      <c r="W18" s="73"/>
      <c r="X18" s="432">
        <f t="shared" si="2"/>
        <v>24</v>
      </c>
      <c r="Y18" s="453"/>
      <c r="Z18" s="454"/>
      <c r="AA18" s="455"/>
      <c r="AB18" s="60">
        <f>IF(B18="",0,IF(D18="",0,IF(SUMIF(B12:B43,B18,H12:H43)=0,0,IF(D18="Obligatoire",AC18/H18,IF(E18="",AC18/SUMIF(B12:B43,B18,H12:H43),AC18/(SUMIF(B12:B43,B18,H12:H43)/E18))))))</f>
        <v>0</v>
      </c>
      <c r="AC18" s="45">
        <f t="shared" si="4"/>
        <v>336</v>
      </c>
    </row>
    <row r="19" spans="1:29" ht="16.2" thickBot="1" x14ac:dyDescent="0.3">
      <c r="A19" s="486"/>
      <c r="B19" s="97"/>
      <c r="C19" s="68" t="s">
        <v>106</v>
      </c>
      <c r="D19" s="87" t="s">
        <v>88</v>
      </c>
      <c r="E19" s="66"/>
      <c r="F19" s="67" t="s">
        <v>94</v>
      </c>
      <c r="G19" s="78">
        <v>12</v>
      </c>
      <c r="H19" s="72">
        <v>14</v>
      </c>
      <c r="I19" s="100">
        <v>30</v>
      </c>
      <c r="J19" s="70" t="s">
        <v>95</v>
      </c>
      <c r="K19" s="454" t="s">
        <v>99</v>
      </c>
      <c r="L19" s="454"/>
      <c r="M19" s="454"/>
      <c r="N19" s="456"/>
      <c r="O19" s="428" t="str">
        <f>IF(OR(I19="",F19=Paramétrage!$C$9,F19=Paramétrage!$C$12,F19=Paramétrage!$C$15,F19=Paramétrage!$C$18,F19=[1]Paramétrage!$C$23,F19=Paramétrage!$C$25,J19="Mut+ext"),"",ROUNDUP(H19/I19,0))</f>
        <v/>
      </c>
      <c r="P19" s="46">
        <f>IF(F19="",0,IF(OR(J19="Mut+ext",VLOOKUP(F19,Paramétrage!$C$6:$E$27,2,0)=0),0,IF(I19="","saisir capacité",G19*O19*VLOOKUP(F19,Paramétrage!$C$6:$E$27,2,0))))</f>
        <v>0</v>
      </c>
      <c r="Q19" s="69"/>
      <c r="R19" s="44">
        <f t="shared" si="3"/>
        <v>0</v>
      </c>
      <c r="S19" s="61">
        <f>IF(F19="",0,IF(ISERROR(Q19+P19*VLOOKUP(F19,Paramétrage!$C$6:$E$27,3,0))=TRUE,R19,Q19+P19*VLOOKUP(F19,Paramétrage!$C$6:$E$27,3,0)))</f>
        <v>0</v>
      </c>
      <c r="T19" s="73"/>
      <c r="U19" s="73"/>
      <c r="V19" s="73"/>
      <c r="W19" s="73"/>
      <c r="X19" s="432">
        <f t="shared" si="2"/>
        <v>0</v>
      </c>
      <c r="Y19" s="453"/>
      <c r="Z19" s="454"/>
      <c r="AA19" s="455"/>
      <c r="AB19" s="60">
        <f>IF(B19="",0,IF(D19="",0,IF(SUMIF(B16:B44,B19,H16:H44)=0,0,IF(D19="Obligatoire",AC19/H19,IF(E19="",AC19/SUMIF(B16:B44,B19,H16:H44),AC19/(SUMIF(B16:B44,B19,H16:H44)/E19))))))</f>
        <v>0</v>
      </c>
      <c r="AC19" s="45">
        <f t="shared" si="4"/>
        <v>168</v>
      </c>
    </row>
    <row r="20" spans="1:29" ht="16.2" thickBot="1" x14ac:dyDescent="0.3">
      <c r="A20" s="486"/>
      <c r="B20" s="97"/>
      <c r="C20" s="68" t="s">
        <v>107</v>
      </c>
      <c r="D20" s="87" t="s">
        <v>88</v>
      </c>
      <c r="E20" s="66"/>
      <c r="F20" s="67" t="s">
        <v>89</v>
      </c>
      <c r="G20" s="78">
        <v>12</v>
      </c>
      <c r="H20" s="72">
        <v>14</v>
      </c>
      <c r="I20" s="100">
        <v>30</v>
      </c>
      <c r="J20" s="70"/>
      <c r="K20" s="454"/>
      <c r="L20" s="454"/>
      <c r="M20" s="454"/>
      <c r="N20" s="456"/>
      <c r="O20" s="428">
        <f>IF(OR(I20="",F20=Paramétrage!$C$9,F20=Paramétrage!$C$12,F20=Paramétrage!$C$15,F20=Paramétrage!$C$18,F20=[1]Paramétrage!$C$23,F20=Paramétrage!$C$25,J20="Mut+ext"),"",ROUNDUP(H20/I20,0))</f>
        <v>1</v>
      </c>
      <c r="P20" s="46">
        <f>IF(F20="",0,IF(OR(J20="Mut+ext",VLOOKUP(F20,Paramétrage!$C$6:$E$27,2,0)=0),0,IF(I20="","saisir capacité",G20*O20*VLOOKUP(F20,Paramétrage!$C$6:$E$27,2,0))))</f>
        <v>12</v>
      </c>
      <c r="Q20" s="69"/>
      <c r="R20" s="44">
        <f t="shared" si="3"/>
        <v>12</v>
      </c>
      <c r="S20" s="61">
        <f>IF(F20="",0,IF(ISERROR(Q20+P20*VLOOKUP(F20,Paramétrage!$C$6:$E$27,3,0))=TRUE,R20,Q20+P20*VLOOKUP(F20,Paramétrage!$C$6:$E$27,3,0)))</f>
        <v>12</v>
      </c>
      <c r="T20" s="73"/>
      <c r="U20" s="73"/>
      <c r="V20" s="73">
        <v>12</v>
      </c>
      <c r="W20" s="73"/>
      <c r="X20" s="432">
        <f t="shared" si="2"/>
        <v>12</v>
      </c>
      <c r="Y20" s="453"/>
      <c r="Z20" s="454"/>
      <c r="AA20" s="455"/>
      <c r="AB20" s="60">
        <f>IF(B20="",0,IF(D20="",0,IF(SUMIF(B17:B45,B20,H17:H45)=0,0,IF(D20="Obligatoire",AC20/H20,IF(E20="",AC20/SUMIF(B17:B45,B20,H17:H45),AC20/(SUMIF(B17:B45,B20,H17:H45)/E20))))))</f>
        <v>0</v>
      </c>
      <c r="AC20" s="45">
        <f t="shared" si="4"/>
        <v>168</v>
      </c>
    </row>
    <row r="21" spans="1:29" ht="16.2" thickBot="1" x14ac:dyDescent="0.3">
      <c r="A21" s="486"/>
      <c r="B21" s="97"/>
      <c r="C21" s="441" t="s">
        <v>108</v>
      </c>
      <c r="D21" s="87" t="s">
        <v>88</v>
      </c>
      <c r="E21" s="66"/>
      <c r="F21" s="67" t="s">
        <v>89</v>
      </c>
      <c r="G21" s="443">
        <v>15</v>
      </c>
      <c r="H21" s="72">
        <v>14</v>
      </c>
      <c r="I21" s="100">
        <v>30</v>
      </c>
      <c r="J21" s="70"/>
      <c r="K21" s="454"/>
      <c r="L21" s="454"/>
      <c r="M21" s="454"/>
      <c r="N21" s="456"/>
      <c r="O21" s="428">
        <f>IF(OR(I21="",F21=Paramétrage!$C$9,F21=Paramétrage!$C$12,F21=Paramétrage!$C$15,F21=Paramétrage!$C$18,F21=[1]Paramétrage!$C$23,F21=Paramétrage!$C$25,J21="Mut+ext"),"",ROUNDUP(H21/I21,0))</f>
        <v>1</v>
      </c>
      <c r="P21" s="46">
        <f>IF(F21="",0,IF(OR(J21="Mut+ext",VLOOKUP(F21,Paramétrage!$C$6:$E$27,2,0)=0),0,IF(I21="","saisir capacité",G21*O21*VLOOKUP(F21,Paramétrage!$C$6:$E$27,2,0))))</f>
        <v>15</v>
      </c>
      <c r="Q21" s="69"/>
      <c r="R21" s="44">
        <f t="shared" si="3"/>
        <v>15</v>
      </c>
      <c r="S21" s="61">
        <f>IF(F21="",0,IF(ISERROR(Q21+P21*VLOOKUP(F21,Paramétrage!$C$6:$E$27,3,0))=TRUE,R21,Q21+P21*VLOOKUP(F21,Paramétrage!$C$6:$E$27,3,0)))</f>
        <v>15</v>
      </c>
      <c r="T21" s="73">
        <v>15</v>
      </c>
      <c r="U21" s="73"/>
      <c r="V21" s="73"/>
      <c r="W21" s="73"/>
      <c r="X21" s="432">
        <f t="shared" si="2"/>
        <v>15</v>
      </c>
      <c r="Y21" s="453"/>
      <c r="Z21" s="454"/>
      <c r="AA21" s="455"/>
      <c r="AB21" s="60">
        <f>IF(B21="",0,IF(D21="",0,IF(SUMIF(B18:B46,B21,H18:H46)=0,0,IF(D21="Obligatoire",AC21/H21,IF(E21="",AC21/SUMIF(B18:B46,B21,H18:H46),AC21/(SUMIF(B18:B46,B21,H18:H46)/E21))))))</f>
        <v>0</v>
      </c>
      <c r="AC21" s="45">
        <f t="shared" si="4"/>
        <v>210</v>
      </c>
    </row>
    <row r="22" spans="1:29" ht="16.2" thickBot="1" x14ac:dyDescent="0.3">
      <c r="A22" s="486"/>
      <c r="B22" s="97"/>
      <c r="C22" s="441" t="s">
        <v>109</v>
      </c>
      <c r="D22" s="87" t="s">
        <v>88</v>
      </c>
      <c r="E22" s="66"/>
      <c r="F22" s="67" t="s">
        <v>89</v>
      </c>
      <c r="G22" s="78">
        <v>15</v>
      </c>
      <c r="H22" s="72">
        <v>14</v>
      </c>
      <c r="I22" s="100">
        <v>30</v>
      </c>
      <c r="J22" s="70"/>
      <c r="K22" s="454"/>
      <c r="L22" s="454"/>
      <c r="M22" s="454"/>
      <c r="N22" s="456"/>
      <c r="O22" s="428">
        <f>IF(OR(I22="",F22=Paramétrage!$C$9,F22=Paramétrage!$C$12,F22=Paramétrage!$C$15,F22=Paramétrage!$C$18,F22=[1]Paramétrage!$C$23,F22=Paramétrage!$C$25,J22="Mut+ext"),"",ROUNDUP(H22/I22,0))</f>
        <v>1</v>
      </c>
      <c r="P22" s="46">
        <f>IF(F22="",0,IF(OR(J22="Mut+ext",VLOOKUP(F22,Paramétrage!$C$6:$E$27,2,0)=0),0,IF(I22="","saisir capacité",G22*O22*VLOOKUP(F22,Paramétrage!$C$6:$E$27,2,0))))</f>
        <v>15</v>
      </c>
      <c r="Q22" s="69"/>
      <c r="R22" s="44">
        <f t="shared" si="3"/>
        <v>15</v>
      </c>
      <c r="S22" s="61">
        <f>IF(F22="",0,IF(ISERROR(Q22+P22*VLOOKUP(F22,Paramétrage!$C$6:$E$27,3,0))=TRUE,R22,Q22+P22*VLOOKUP(F22,Paramétrage!$C$6:$E$27,3,0)))</f>
        <v>15</v>
      </c>
      <c r="T22" s="73">
        <v>12</v>
      </c>
      <c r="U22" s="73">
        <v>3</v>
      </c>
      <c r="V22" s="73"/>
      <c r="W22" s="73"/>
      <c r="X22" s="432">
        <f t="shared" si="2"/>
        <v>15</v>
      </c>
      <c r="Y22" s="453"/>
      <c r="Z22" s="454"/>
      <c r="AA22" s="455"/>
      <c r="AB22" s="60">
        <f>IF(B22="",0,IF(D22="",0,IF(SUMIF(B19:B47,B22,H19:H47)=0,0,IF(D22="Obligatoire",AC22/H22,IF(E22="",AC22/SUMIF(B19:B47,B22,H19:H47),AC22/(SUMIF(B19:B47,B22,H19:H47)/E22))))))</f>
        <v>0</v>
      </c>
      <c r="AC22" s="45">
        <f t="shared" si="4"/>
        <v>210</v>
      </c>
    </row>
    <row r="23" spans="1:29" ht="15.6" customHeight="1" thickBot="1" x14ac:dyDescent="0.3">
      <c r="A23" s="486"/>
      <c r="B23" s="96"/>
      <c r="C23" s="68" t="s">
        <v>110</v>
      </c>
      <c r="D23" s="87" t="s">
        <v>88</v>
      </c>
      <c r="E23" s="66"/>
      <c r="F23" s="67" t="s">
        <v>89</v>
      </c>
      <c r="G23" s="78">
        <v>12</v>
      </c>
      <c r="H23" s="72">
        <v>14</v>
      </c>
      <c r="I23" s="100">
        <v>30</v>
      </c>
      <c r="J23" s="70"/>
      <c r="K23" s="454"/>
      <c r="L23" s="454"/>
      <c r="M23" s="454"/>
      <c r="N23" s="456"/>
      <c r="O23" s="428">
        <f>IF(OR(I23="",F23=Paramétrage!$C$9,F23=Paramétrage!$C$12,F23=Paramétrage!$C$15,F23=Paramétrage!$C$18,F23=[1]Paramétrage!$C$23,F23=Paramétrage!$C$25,J23="Mut+ext"),"",ROUNDUP(H23/I23,0))</f>
        <v>1</v>
      </c>
      <c r="P23" s="46">
        <f>IF(F23="",0,IF(OR(J23="Mut+ext",VLOOKUP(F23,Paramétrage!$C$6:$E$27,2,0)=0),0,IF(I23="","saisir capacité",G23*O23*VLOOKUP(F23,Paramétrage!$C$6:$E$27,2,0))))</f>
        <v>12</v>
      </c>
      <c r="Q23" s="69"/>
      <c r="R23" s="44">
        <f t="shared" si="1"/>
        <v>12</v>
      </c>
      <c r="S23" s="61">
        <f>IF(F23="",0,IF(ISERROR(Q23+P23*VLOOKUP(F23,Paramétrage!$C$6:$E$27,3,0))=TRUE,R23,Q23+P23*VLOOKUP(F23,Paramétrage!$C$6:$E$27,3,0)))</f>
        <v>12</v>
      </c>
      <c r="T23" s="73">
        <v>12</v>
      </c>
      <c r="U23" s="73"/>
      <c r="V23" s="73"/>
      <c r="W23" s="73"/>
      <c r="X23" s="432">
        <f t="shared" si="2"/>
        <v>12</v>
      </c>
      <c r="Y23" s="453"/>
      <c r="Z23" s="454"/>
      <c r="AA23" s="455"/>
      <c r="AB23" s="60">
        <f>IF(B23="",0,IF(D23="",0,IF(SUMIF(B7:B26,B23,H7:H26)=0,0,IF(D23="Obligatoire",AC23/H23,IF(E23="",AC23/SUMIF(B7:B26,B23,H7:H26),AC23/(SUMIF(B7:B26,B23,H7:H26)/E23))))))</f>
        <v>0</v>
      </c>
      <c r="AC23" s="45">
        <f>G23*H23</f>
        <v>168</v>
      </c>
    </row>
    <row r="24" spans="1:29" ht="16.2" thickBot="1" x14ac:dyDescent="0.3">
      <c r="A24" s="486"/>
      <c r="B24" s="96"/>
      <c r="C24" s="68" t="s">
        <v>111</v>
      </c>
      <c r="D24" s="87" t="s">
        <v>88</v>
      </c>
      <c r="E24" s="66"/>
      <c r="F24" s="67" t="s">
        <v>89</v>
      </c>
      <c r="G24" s="78">
        <v>20</v>
      </c>
      <c r="H24" s="72">
        <v>14</v>
      </c>
      <c r="I24" s="100">
        <v>30</v>
      </c>
      <c r="J24" s="70"/>
      <c r="K24" s="454"/>
      <c r="L24" s="454"/>
      <c r="M24" s="454"/>
      <c r="N24" s="456"/>
      <c r="O24" s="428">
        <f>IF(OR(I24="",F24=Paramétrage!$C$9,F24=Paramétrage!$C$12,F24=Paramétrage!$C$15,F24=Paramétrage!$C$18,F24=[1]Paramétrage!$C$23,F24=Paramétrage!$C$25,J24="Mut+ext"),"",ROUNDUP(H24/I24,0))</f>
        <v>1</v>
      </c>
      <c r="P24" s="46">
        <f>IF(F24="",0,IF(OR(J24="Mut+ext",VLOOKUP(F24,Paramétrage!$C$6:$E$27,2,0)=0),0,IF(I24="","saisir capacité",G24*O24*VLOOKUP(F24,Paramétrage!$C$6:$E$27,2,0))))</f>
        <v>20</v>
      </c>
      <c r="Q24" s="69"/>
      <c r="R24" s="44">
        <f t="shared" si="1"/>
        <v>20</v>
      </c>
      <c r="S24" s="61">
        <f>IF(F24="",0,IF(ISERROR(Q24+P24*VLOOKUP(F24,Paramétrage!$C$6:$E$27,3,0))=TRUE,R24,Q24+P24*VLOOKUP(F24,Paramétrage!$C$6:$E$27,3,0)))</f>
        <v>20</v>
      </c>
      <c r="T24" s="75"/>
      <c r="U24" s="75"/>
      <c r="V24" s="75">
        <v>20</v>
      </c>
      <c r="W24" s="75"/>
      <c r="X24" s="432">
        <f t="shared" si="2"/>
        <v>20</v>
      </c>
      <c r="Y24" s="453"/>
      <c r="Z24" s="454"/>
      <c r="AA24" s="455"/>
      <c r="AB24" s="60">
        <f>IF(B24="",0,IF(D24="",0,IF(SUMIF(B7:B26,B24,H7:H26)=0,0,IF(D24="Obligatoire",AC24/H24,IF(E24="",AC24/SUMIF(B7:B26,B24,H7:H26),AC24/(SUMIF(B7:B26,B24,H7:H26)/E24))))))</f>
        <v>0</v>
      </c>
      <c r="AC24" s="45">
        <f>G24*H24</f>
        <v>280</v>
      </c>
    </row>
    <row r="25" spans="1:29" x14ac:dyDescent="0.25">
      <c r="A25" s="486"/>
      <c r="B25" s="96"/>
      <c r="C25" s="68" t="s">
        <v>112</v>
      </c>
      <c r="D25" s="87" t="s">
        <v>88</v>
      </c>
      <c r="E25" s="66"/>
      <c r="F25" s="67" t="s">
        <v>94</v>
      </c>
      <c r="G25" s="78">
        <v>12</v>
      </c>
      <c r="H25" s="72">
        <v>14</v>
      </c>
      <c r="I25" s="100">
        <v>30</v>
      </c>
      <c r="J25" s="70" t="s">
        <v>95</v>
      </c>
      <c r="K25" s="454" t="s">
        <v>99</v>
      </c>
      <c r="L25" s="454"/>
      <c r="M25" s="454"/>
      <c r="N25" s="456"/>
      <c r="O25" s="428" t="str">
        <f>IF(OR(I25="",F25=Paramétrage!$C$9,F25=Paramétrage!$C$12,F25=Paramétrage!$C$15,F25=Paramétrage!$C$18,F25=[1]Paramétrage!$C$23,F25=Paramétrage!$C$25,J25="Mut+ext"),"",ROUNDUP(H25/I25,0))</f>
        <v/>
      </c>
      <c r="P25" s="46">
        <f>IF(F25="",0,IF(OR(J25="Mut+ext",VLOOKUP(F25,Paramétrage!$C$6:$E$27,2,0)=0),0,IF(I25="","saisir capacité",G25*O25*VLOOKUP(F25,Paramétrage!$C$6:$E$27,2,0))))</f>
        <v>0</v>
      </c>
      <c r="Q25" s="69"/>
      <c r="R25" s="44">
        <f t="shared" si="1"/>
        <v>0</v>
      </c>
      <c r="S25" s="61">
        <f>IF(F25="",0,IF(ISERROR(Q25+P25*VLOOKUP(F25,Paramétrage!$C$6:$E$27,3,0))=TRUE,R25,Q25+P25*VLOOKUP(F25,Paramétrage!$C$6:$E$27,3,0)))</f>
        <v>0</v>
      </c>
      <c r="T25" s="74"/>
      <c r="U25" s="74"/>
      <c r="V25" s="74"/>
      <c r="W25" s="74"/>
      <c r="X25" s="432">
        <f t="shared" si="2"/>
        <v>0</v>
      </c>
      <c r="Y25" s="453"/>
      <c r="Z25" s="454"/>
      <c r="AA25" s="455"/>
      <c r="AB25" s="60">
        <f>IF(B25="",0,IF(D25="",0,IF(SUMIF(B7:B26,B25,H7:H26)=0,0,IF(D25="Obligatoire",AC25/H25,IF(E25="",AC25/SUMIF(B7:B26,B25,H7:H26),AC25/(SUMIF(B7:B26,B25,H7:H26)/E25))))))</f>
        <v>0</v>
      </c>
      <c r="AC25" s="45">
        <f>G25*H25</f>
        <v>168</v>
      </c>
    </row>
    <row r="26" spans="1:29" x14ac:dyDescent="0.25">
      <c r="A26" s="486"/>
      <c r="B26" s="96"/>
      <c r="C26" s="444" t="s">
        <v>113</v>
      </c>
      <c r="D26" s="88" t="s">
        <v>88</v>
      </c>
      <c r="E26" s="66"/>
      <c r="F26" s="67" t="s">
        <v>89</v>
      </c>
      <c r="G26" s="78">
        <v>12</v>
      </c>
      <c r="H26" s="73">
        <v>14</v>
      </c>
      <c r="I26" s="83">
        <v>30</v>
      </c>
      <c r="J26" s="70"/>
      <c r="K26" s="454"/>
      <c r="L26" s="454"/>
      <c r="M26" s="454"/>
      <c r="N26" s="456"/>
      <c r="O26" s="428">
        <f>IF(OR(I26="",F26=Paramétrage!$C$9,F26=Paramétrage!$C$12,F26=Paramétrage!$C$15,F26=Paramétrage!$C$18,F26=[1]Paramétrage!$C$23,F26=Paramétrage!$C$25,J26="Mut+ext"),"",ROUNDUP(H26/I26,0))</f>
        <v>1</v>
      </c>
      <c r="P26" s="46">
        <f>IF(F26="",0,IF(OR(J26="Mut+ext",VLOOKUP(F26,Paramétrage!$C$6:$E$27,2,0)=0),0,IF(I26="","saisir capacité",G26*O26*VLOOKUP(F26,Paramétrage!$C$6:$E$27,2,0))))</f>
        <v>12</v>
      </c>
      <c r="Q26" s="69"/>
      <c r="R26" s="44">
        <f t="shared" si="1"/>
        <v>12</v>
      </c>
      <c r="S26" s="61">
        <f>IF(F26="",0,IF(ISERROR(Q26+P26*VLOOKUP(F26,Paramétrage!$C$6:$E$27,3,0))=TRUE,R26,Q26+P26*VLOOKUP(F26,Paramétrage!$C$6:$E$27,3,0)))</f>
        <v>12</v>
      </c>
      <c r="T26" s="445">
        <v>12</v>
      </c>
      <c r="U26" s="73"/>
      <c r="V26" s="73"/>
      <c r="W26" s="73"/>
      <c r="X26" s="432">
        <f t="shared" si="2"/>
        <v>12</v>
      </c>
      <c r="Y26" s="453"/>
      <c r="Z26" s="454"/>
      <c r="AA26" s="455"/>
      <c r="AB26" s="60">
        <f>IF(B26="",0,IF(D26="",0,IF(SUMIF(B7:B26,B26,H7:H26)=0,0,IF(D26="Obligatoire",AC26/H26,IF(E26="",AC26/SUMIF(B7:B26,B26,H7:H26),AC26/(SUMIF(B7:B26,B26,H7:H26)/E26))))))</f>
        <v>0</v>
      </c>
      <c r="AC26" s="45">
        <f>G26*H26</f>
        <v>168</v>
      </c>
    </row>
    <row r="27" spans="1:29" ht="16.2" thickBot="1" x14ac:dyDescent="0.3">
      <c r="A27" s="485"/>
      <c r="B27" s="427"/>
      <c r="C27" s="49"/>
      <c r="D27" s="49"/>
      <c r="E27" s="423"/>
      <c r="F27" s="79"/>
      <c r="G27" s="85">
        <f>AB27</f>
        <v>0</v>
      </c>
      <c r="H27" s="424"/>
      <c r="I27" s="425"/>
      <c r="J27" s="426"/>
      <c r="K27" s="48"/>
      <c r="L27" s="107"/>
      <c r="M27" s="107"/>
      <c r="N27" s="108"/>
      <c r="O27" s="51"/>
      <c r="P27" s="109">
        <f>SUM(P7:P26)</f>
        <v>202</v>
      </c>
      <c r="Q27" s="47">
        <f>SUM(Q7:Q26)</f>
        <v>0</v>
      </c>
      <c r="R27" s="52">
        <f t="shared" ref="R27" si="8">P27+Q27</f>
        <v>202</v>
      </c>
      <c r="S27" s="110">
        <f>SUM(S7:S26)</f>
        <v>202</v>
      </c>
      <c r="T27" s="417"/>
      <c r="U27" s="417"/>
      <c r="V27" s="417"/>
      <c r="W27" s="417"/>
      <c r="X27" s="433"/>
      <c r="Y27" s="111"/>
      <c r="Z27" s="112"/>
      <c r="AA27" s="113"/>
      <c r="AB27" s="114">
        <f>SUM(AB7:AB26)</f>
        <v>0</v>
      </c>
      <c r="AC27" s="59">
        <f>SUM(AC7:AC26)</f>
        <v>4116</v>
      </c>
    </row>
    <row r="28" spans="1:29" ht="15.6" customHeight="1" x14ac:dyDescent="0.25">
      <c r="A28" s="484" t="s">
        <v>114</v>
      </c>
      <c r="B28" s="95"/>
      <c r="C28" s="99"/>
      <c r="D28" s="87"/>
      <c r="E28" s="63"/>
      <c r="F28" s="64"/>
      <c r="G28" s="77"/>
      <c r="H28" s="72"/>
      <c r="I28" s="100"/>
      <c r="J28" s="89"/>
      <c r="K28" s="458"/>
      <c r="L28" s="458"/>
      <c r="M28" s="458"/>
      <c r="N28" s="471"/>
      <c r="O28" s="428" t="str">
        <f>IF(OR(I28="",F28=Paramétrage!$C$9,F28=Paramétrage!$C$12,F28=Paramétrage!$C$15,F28=Paramétrage!$C$18,F28=[1]Paramétrage!$C$23,F28=Paramétrage!$C$25,J28="Mut+ext"),"",ROUNDUP(H28/I28,0))</f>
        <v/>
      </c>
      <c r="P28" s="101">
        <f>IF(F28="",0,IF(OR(J28="Mut+ext",VLOOKUP(F28,Paramétrage!$C$6:$E$27,2,0)=0),0,IF(I28="","saisir capacité",G28*O28*VLOOKUP(F28,Paramétrage!$C$6:$E$27,2,0))))</f>
        <v>0</v>
      </c>
      <c r="Q28" s="102"/>
      <c r="R28" s="103">
        <f t="shared" ref="R28:R47" si="9">IF(ISERROR(P28+Q28)=TRUE,P28,P28+Q28)</f>
        <v>0</v>
      </c>
      <c r="S28" s="104">
        <f>IF(F28="",0,IF(ISERROR(Q28+P28*VLOOKUP(F28,Paramétrage!$C$6:$E$27,3,0))=TRUE,R28,Q28+P28*VLOOKUP(F28,Paramétrage!$C$6:$E$27,3,0)))</f>
        <v>0</v>
      </c>
      <c r="T28" s="72"/>
      <c r="U28" s="72"/>
      <c r="V28" s="72"/>
      <c r="W28" s="72"/>
      <c r="X28" s="431">
        <f>SUM(T28:W28)</f>
        <v>0</v>
      </c>
      <c r="Y28" s="457"/>
      <c r="Z28" s="458"/>
      <c r="AA28" s="459"/>
      <c r="AB28" s="105">
        <f>IF(B28="",0,IF(D28="",0,IF(SUMIF(B28:B47,B28,H28:H47)=0,0,IF(D28="Obligatoire",AC28/H28,IF(E28="",AC28/SUMIF(B28:B47,B28,H28:H47),AC28/(SUMIF(B28:B47,B28,H28:H47)/E28))))))</f>
        <v>0</v>
      </c>
      <c r="AC28" s="106">
        <f>G28*H28</f>
        <v>0</v>
      </c>
    </row>
    <row r="29" spans="1:29" x14ac:dyDescent="0.25">
      <c r="A29" s="486"/>
      <c r="B29" s="96"/>
      <c r="C29" s="65"/>
      <c r="D29" s="88"/>
      <c r="E29" s="66"/>
      <c r="F29" s="67"/>
      <c r="G29" s="78"/>
      <c r="H29" s="73"/>
      <c r="I29" s="83"/>
      <c r="J29" s="70"/>
      <c r="K29" s="454"/>
      <c r="L29" s="454"/>
      <c r="M29" s="454"/>
      <c r="N29" s="456"/>
      <c r="O29" s="428" t="str">
        <f>IF(OR(I29="",F29=Paramétrage!$C$9,F29=Paramétrage!$C$12,F29=Paramétrage!$C$15,F29=Paramétrage!$C$18,F29=[1]Paramétrage!$C$23,F29=Paramétrage!$C$25,J29="Mut+ext"),"",ROUNDUP(H29/I29,0))</f>
        <v/>
      </c>
      <c r="P29" s="46">
        <f>IF(F29="",0,IF(OR(J29="Mut+ext",VLOOKUP(F29,Paramétrage!$C$6:$E$27,2,0)=0),0,IF(I29="","saisir capacité",G29*O29*VLOOKUP(F29,Paramétrage!$C$6:$E$27,2,0))))</f>
        <v>0</v>
      </c>
      <c r="Q29" s="69"/>
      <c r="R29" s="44">
        <f t="shared" si="9"/>
        <v>0</v>
      </c>
      <c r="S29" s="61">
        <f>IF(F29="",0,IF(ISERROR(Q29+P29*VLOOKUP(F29,Paramétrage!$C$6:$E$27,3,0))=TRUE,R29,Q29+P29*VLOOKUP(F29,Paramétrage!$C$6:$E$27,3,0)))</f>
        <v>0</v>
      </c>
      <c r="T29" s="73"/>
      <c r="U29" s="73"/>
      <c r="V29" s="73"/>
      <c r="W29" s="73"/>
      <c r="X29" s="432">
        <f t="shared" ref="X29:X47" si="10">SUM(T29:W29)</f>
        <v>0</v>
      </c>
      <c r="Y29" s="453"/>
      <c r="Z29" s="454"/>
      <c r="AA29" s="455"/>
      <c r="AB29" s="60">
        <f>IF(B29="",0,IF(D29="",0,IF(SUMIF(B28:B47,B29,H28:H47)=0,0,IF(D29="Obligatoire",AC29/H29,IF(E29="",AC29/SUMIF(B28:B47,B29,H28:H47),AC29/(SUMIF(B28:B47,B29,H28:H47)/E29))))))</f>
        <v>0</v>
      </c>
      <c r="AC29" s="45">
        <f>G29*H29</f>
        <v>0</v>
      </c>
    </row>
    <row r="30" spans="1:29" x14ac:dyDescent="0.25">
      <c r="A30" s="486"/>
      <c r="B30" s="96"/>
      <c r="C30" s="65"/>
      <c r="D30" s="88"/>
      <c r="E30" s="66"/>
      <c r="F30" s="67"/>
      <c r="G30" s="78"/>
      <c r="H30" s="73"/>
      <c r="I30" s="83"/>
      <c r="J30" s="70"/>
      <c r="K30" s="454"/>
      <c r="L30" s="454"/>
      <c r="M30" s="454"/>
      <c r="N30" s="456"/>
      <c r="O30" s="428" t="str">
        <f>IF(OR(I30="",F30=Paramétrage!$C$9,F30=Paramétrage!$C$12,F30=Paramétrage!$C$15,F30=Paramétrage!$C$18,F30=[1]Paramétrage!$C$23,F30=Paramétrage!$C$25,J30="Mut+ext"),"",ROUNDUP(H30/I30,0))</f>
        <v/>
      </c>
      <c r="P30" s="46">
        <f>IF(F30="",0,IF(OR(J30="Mut+ext",VLOOKUP(F30,Paramétrage!$C$6:$E$27,2,0)=0),0,IF(I30="","saisir capacité",G30*O30*VLOOKUP(F30,Paramétrage!$C$6:$E$27,2,0))))</f>
        <v>0</v>
      </c>
      <c r="Q30" s="69"/>
      <c r="R30" s="44">
        <f t="shared" ref="R30:R43" si="11">IF(ISERROR(P30+Q30)=TRUE,P30,P30+Q30)</f>
        <v>0</v>
      </c>
      <c r="S30" s="61">
        <f>IF(F30="",0,IF(ISERROR(Q30+P30*VLOOKUP(F30,Paramétrage!$C$6:$E$27,3,0))=TRUE,R30,Q30+P30*VLOOKUP(F30,Paramétrage!$C$6:$E$27,3,0)))</f>
        <v>0</v>
      </c>
      <c r="T30" s="73"/>
      <c r="U30" s="73"/>
      <c r="V30" s="73"/>
      <c r="W30" s="73"/>
      <c r="X30" s="432">
        <f t="shared" si="10"/>
        <v>0</v>
      </c>
      <c r="Y30" s="453"/>
      <c r="Z30" s="454"/>
      <c r="AA30" s="455"/>
      <c r="AB30" s="60">
        <f>IF(B30="",0,IF(D30="",0,IF(SUMIF(B29:B48,B30,H29:H48)=0,0,IF(D30="Obligatoire",AC30/H30,IF(E30="",AC30/SUMIF(B29:B48,B30,H29:H48),AC30/(SUMIF(B29:B48,B30,H29:H48)/E30))))))</f>
        <v>0</v>
      </c>
      <c r="AC30" s="45">
        <f t="shared" ref="AC30:AC41" si="12">G30*H30</f>
        <v>0</v>
      </c>
    </row>
    <row r="31" spans="1:29" x14ac:dyDescent="0.25">
      <c r="A31" s="486"/>
      <c r="B31" s="96"/>
      <c r="C31" s="65"/>
      <c r="D31" s="88"/>
      <c r="E31" s="66"/>
      <c r="F31" s="67"/>
      <c r="G31" s="78"/>
      <c r="H31" s="73"/>
      <c r="I31" s="83"/>
      <c r="J31" s="70"/>
      <c r="K31" s="454"/>
      <c r="L31" s="454"/>
      <c r="M31" s="454"/>
      <c r="N31" s="456"/>
      <c r="O31" s="428" t="str">
        <f>IF(OR(I31="",F31=Paramétrage!$C$9,F31=Paramétrage!$C$12,F31=Paramétrage!$C$15,F31=Paramétrage!$C$18,F31=[1]Paramétrage!$C$23,F31=Paramétrage!$C$25,J31="Mut+ext"),"",ROUNDUP(H31/I31,0))</f>
        <v/>
      </c>
      <c r="P31" s="46">
        <f>IF(F31="",0,IF(OR(J31="Mut+ext",VLOOKUP(F31,Paramétrage!$C$6:$E$27,2,0)=0),0,IF(I31="","saisir capacité",G31*O31*VLOOKUP(F31,Paramétrage!$C$6:$E$27,2,0))))</f>
        <v>0</v>
      </c>
      <c r="Q31" s="69"/>
      <c r="R31" s="44">
        <f t="shared" ref="R31:R37" si="13">IF(ISERROR(P31+Q31)=TRUE,P31,P31+Q31)</f>
        <v>0</v>
      </c>
      <c r="S31" s="61">
        <f>IF(F31="",0,IF(ISERROR(Q31+P31*VLOOKUP(F31,Paramétrage!$C$6:$E$27,3,0))=TRUE,R31,Q31+P31*VLOOKUP(F31,Paramétrage!$C$6:$E$27,3,0)))</f>
        <v>0</v>
      </c>
      <c r="T31" s="73"/>
      <c r="U31" s="73"/>
      <c r="V31" s="73"/>
      <c r="W31" s="73"/>
      <c r="X31" s="432">
        <f t="shared" si="10"/>
        <v>0</v>
      </c>
      <c r="Y31" s="453"/>
      <c r="Z31" s="454"/>
      <c r="AA31" s="455"/>
      <c r="AB31" s="60">
        <f>IF(B31="",0,IF(D31="",0,IF(SUMIF(B30:B49,B31,H30:H49)=0,0,IF(D31="Obligatoire",AC31/H31,IF(E31="",AC31/SUMIF(B30:B49,B31,H30:H49),AC31/(SUMIF(B30:B49,B31,H30:H49)/E31))))))</f>
        <v>0</v>
      </c>
      <c r="AC31" s="45">
        <f t="shared" ref="AC31:AC37" si="14">G31*H31</f>
        <v>0</v>
      </c>
    </row>
    <row r="32" spans="1:29" x14ac:dyDescent="0.25">
      <c r="A32" s="486"/>
      <c r="B32" s="96"/>
      <c r="C32" s="65"/>
      <c r="D32" s="88"/>
      <c r="E32" s="66"/>
      <c r="F32" s="67"/>
      <c r="G32" s="78"/>
      <c r="H32" s="73"/>
      <c r="I32" s="83"/>
      <c r="J32" s="70"/>
      <c r="K32" s="454"/>
      <c r="L32" s="454"/>
      <c r="M32" s="454"/>
      <c r="N32" s="456"/>
      <c r="O32" s="428" t="str">
        <f>IF(OR(I32="",F32=Paramétrage!$C$9,F32=Paramétrage!$C$12,F32=Paramétrage!$C$15,F32=Paramétrage!$C$18,F32=[1]Paramétrage!$C$23,F32=Paramétrage!$C$25,J32="Mut+ext"),"",ROUNDUP(H32/I32,0))</f>
        <v/>
      </c>
      <c r="P32" s="46">
        <f>IF(F32="",0,IF(OR(J32="Mut+ext",VLOOKUP(F32,Paramétrage!$C$6:$E$27,2,0)=0),0,IF(I32="","saisir capacité",G32*O32*VLOOKUP(F32,Paramétrage!$C$6:$E$27,2,0))))</f>
        <v>0</v>
      </c>
      <c r="Q32" s="69"/>
      <c r="R32" s="44">
        <f t="shared" si="13"/>
        <v>0</v>
      </c>
      <c r="S32" s="61">
        <f>IF(F32="",0,IF(ISERROR(Q32+P32*VLOOKUP(F32,Paramétrage!$C$6:$E$27,3,0))=TRUE,R32,Q32+P32*VLOOKUP(F32,Paramétrage!$C$6:$E$27,3,0)))</f>
        <v>0</v>
      </c>
      <c r="T32" s="73"/>
      <c r="U32" s="73"/>
      <c r="V32" s="73"/>
      <c r="W32" s="73"/>
      <c r="X32" s="432">
        <f t="shared" si="10"/>
        <v>0</v>
      </c>
      <c r="Y32" s="453"/>
      <c r="Z32" s="454"/>
      <c r="AA32" s="455"/>
      <c r="AB32" s="60">
        <f>IF(B32="",0,IF(D32="",0,IF(SUMIF(B31:B50,B32,H31:H50)=0,0,IF(D32="Obligatoire",AC32/H32,IF(E32="",AC32/SUMIF(B31:B50,B32,H31:H50),AC32/(SUMIF(B31:B50,B32,H31:H50)/E32))))))</f>
        <v>0</v>
      </c>
      <c r="AC32" s="45">
        <f t="shared" si="14"/>
        <v>0</v>
      </c>
    </row>
    <row r="33" spans="1:29" x14ac:dyDescent="0.25">
      <c r="A33" s="486"/>
      <c r="B33" s="96"/>
      <c r="C33" s="65"/>
      <c r="D33" s="88"/>
      <c r="E33" s="66"/>
      <c r="F33" s="67"/>
      <c r="G33" s="78"/>
      <c r="H33" s="73"/>
      <c r="I33" s="83"/>
      <c r="J33" s="70"/>
      <c r="K33" s="454"/>
      <c r="L33" s="454"/>
      <c r="M33" s="454"/>
      <c r="N33" s="456"/>
      <c r="O33" s="428" t="str">
        <f>IF(OR(I33="",F33=Paramétrage!$C$9,F33=Paramétrage!$C$12,F33=Paramétrage!$C$15,F33=Paramétrage!$C$18,F33=[1]Paramétrage!$C$23,F33=Paramétrage!$C$25,J33="Mut+ext"),"",ROUNDUP(H33/I33,0))</f>
        <v/>
      </c>
      <c r="P33" s="46">
        <f>IF(F33="",0,IF(OR(J33="Mut+ext",VLOOKUP(F33,Paramétrage!$C$6:$E$27,2,0)=0),0,IF(I33="","saisir capacité",G33*O33*VLOOKUP(F33,Paramétrage!$C$6:$E$27,2,0))))</f>
        <v>0</v>
      </c>
      <c r="Q33" s="69"/>
      <c r="R33" s="44">
        <f t="shared" ref="R33:R34" si="15">IF(ISERROR(P33+Q33)=TRUE,P33,P33+Q33)</f>
        <v>0</v>
      </c>
      <c r="S33" s="61">
        <f>IF(F33="",0,IF(ISERROR(Q33+P33*VLOOKUP(F33,Paramétrage!$C$6:$E$27,3,0))=TRUE,R33,Q33+P33*VLOOKUP(F33,Paramétrage!$C$6:$E$27,3,0)))</f>
        <v>0</v>
      </c>
      <c r="T33" s="73"/>
      <c r="U33" s="73"/>
      <c r="V33" s="73"/>
      <c r="W33" s="73"/>
      <c r="X33" s="432">
        <f t="shared" si="10"/>
        <v>0</v>
      </c>
      <c r="Y33" s="453"/>
      <c r="Z33" s="454"/>
      <c r="AA33" s="455"/>
      <c r="AB33" s="60">
        <f>IF(B33="",0,IF(D33="",0,IF(SUMIF(B32:B63,B33,H32:H63)=0,0,IF(D33="Obligatoire",AC33/H33,IF(E33="",AC33/SUMIF(B32:B63,B33,H32:H63),AC33/(SUMIF(B32:B63,B33,H32:H63)/E33))))))</f>
        <v>0</v>
      </c>
      <c r="AC33" s="45">
        <f t="shared" ref="AC33:AC34" si="16">G33*H33</f>
        <v>0</v>
      </c>
    </row>
    <row r="34" spans="1:29" x14ac:dyDescent="0.25">
      <c r="A34" s="486"/>
      <c r="B34" s="96"/>
      <c r="C34" s="65"/>
      <c r="D34" s="88"/>
      <c r="E34" s="66"/>
      <c r="F34" s="67"/>
      <c r="G34" s="78"/>
      <c r="H34" s="73"/>
      <c r="I34" s="83"/>
      <c r="J34" s="70"/>
      <c r="K34" s="454"/>
      <c r="L34" s="454"/>
      <c r="M34" s="454"/>
      <c r="N34" s="456"/>
      <c r="O34" s="428" t="str">
        <f>IF(OR(I34="",F34=Paramétrage!$C$9,F34=Paramétrage!$C$12,F34=Paramétrage!$C$15,F34=Paramétrage!$C$18,F34=[1]Paramétrage!$C$23,F34=Paramétrage!$C$25,J34="Mut+ext"),"",ROUNDUP(H34/I34,0))</f>
        <v/>
      </c>
      <c r="P34" s="46">
        <f>IF(F34="",0,IF(OR(J34="Mut+ext",VLOOKUP(F34,Paramétrage!$C$6:$E$27,2,0)=0),0,IF(I34="","saisir capacité",G34*O34*VLOOKUP(F34,Paramétrage!$C$6:$E$27,2,0))))</f>
        <v>0</v>
      </c>
      <c r="Q34" s="69"/>
      <c r="R34" s="44">
        <f t="shared" si="15"/>
        <v>0</v>
      </c>
      <c r="S34" s="61">
        <f>IF(F34="",0,IF(ISERROR(Q34+P34*VLOOKUP(F34,Paramétrage!$C$6:$E$27,3,0))=TRUE,R34,Q34+P34*VLOOKUP(F34,Paramétrage!$C$6:$E$27,3,0)))</f>
        <v>0</v>
      </c>
      <c r="T34" s="73"/>
      <c r="U34" s="73"/>
      <c r="V34" s="73"/>
      <c r="W34" s="73"/>
      <c r="X34" s="432">
        <f t="shared" si="10"/>
        <v>0</v>
      </c>
      <c r="Y34" s="453"/>
      <c r="Z34" s="454"/>
      <c r="AA34" s="455"/>
      <c r="AB34" s="60">
        <f>IF(B34="",0,IF(D34="",0,IF(SUMIF(B33:B64,B34,H33:H64)=0,0,IF(D34="Obligatoire",AC34/H34,IF(E34="",AC34/SUMIF(B33:B64,B34,H33:H64),AC34/(SUMIF(B33:B64,B34,H33:H64)/E34))))))</f>
        <v>0</v>
      </c>
      <c r="AC34" s="45">
        <f t="shared" si="16"/>
        <v>0</v>
      </c>
    </row>
    <row r="35" spans="1:29" x14ac:dyDescent="0.25">
      <c r="A35" s="486"/>
      <c r="B35" s="96"/>
      <c r="C35" s="65"/>
      <c r="D35" s="88"/>
      <c r="E35" s="66"/>
      <c r="F35" s="67"/>
      <c r="G35" s="78"/>
      <c r="H35" s="73"/>
      <c r="I35" s="83"/>
      <c r="J35" s="70"/>
      <c r="K35" s="454"/>
      <c r="L35" s="454"/>
      <c r="M35" s="454"/>
      <c r="N35" s="456"/>
      <c r="O35" s="428" t="str">
        <f>IF(OR(I35="",F35=Paramétrage!$C$9,F35=Paramétrage!$C$12,F35=Paramétrage!$C$15,F35=Paramétrage!$C$18,F35=[1]Paramétrage!$C$23,F35=Paramétrage!$C$25,J35="Mut+ext"),"",ROUNDUP(H35/I35,0))</f>
        <v/>
      </c>
      <c r="P35" s="46">
        <f>IF(F35="",0,IF(OR(J35="Mut+ext",VLOOKUP(F35,Paramétrage!$C$6:$E$27,2,0)=0),0,IF(I35="","saisir capacité",G35*O35*VLOOKUP(F35,Paramétrage!$C$6:$E$27,2,0))))</f>
        <v>0</v>
      </c>
      <c r="Q35" s="69"/>
      <c r="R35" s="44">
        <f t="shared" si="13"/>
        <v>0</v>
      </c>
      <c r="S35" s="61">
        <f>IF(F35="",0,IF(ISERROR(Q35+P35*VLOOKUP(F35,Paramétrage!$C$6:$E$27,3,0))=TRUE,R35,Q35+P35*VLOOKUP(F35,Paramétrage!$C$6:$E$27,3,0)))</f>
        <v>0</v>
      </c>
      <c r="T35" s="73"/>
      <c r="U35" s="73"/>
      <c r="V35" s="73"/>
      <c r="W35" s="73"/>
      <c r="X35" s="432">
        <f t="shared" si="10"/>
        <v>0</v>
      </c>
      <c r="Y35" s="453"/>
      <c r="Z35" s="454"/>
      <c r="AA35" s="455"/>
      <c r="AB35" s="60">
        <f>IF(B35="",0,IF(D35="",0,IF(SUMIF(B32:B63,B35,H32:H63)=0,0,IF(D35="Obligatoire",AC35/H35,IF(E35="",AC35/SUMIF(B32:B63,B35,H32:H63),AC35/(SUMIF(B32:B63,B35,H32:H63)/E35))))))</f>
        <v>0</v>
      </c>
      <c r="AC35" s="45">
        <f t="shared" si="14"/>
        <v>0</v>
      </c>
    </row>
    <row r="36" spans="1:29" x14ac:dyDescent="0.25">
      <c r="A36" s="486"/>
      <c r="B36" s="96"/>
      <c r="C36" s="65"/>
      <c r="D36" s="88"/>
      <c r="E36" s="66"/>
      <c r="F36" s="67"/>
      <c r="G36" s="78"/>
      <c r="H36" s="73"/>
      <c r="I36" s="83"/>
      <c r="J36" s="70"/>
      <c r="K36" s="454"/>
      <c r="L36" s="454"/>
      <c r="M36" s="454"/>
      <c r="N36" s="456"/>
      <c r="O36" s="428" t="str">
        <f>IF(OR(I36="",F36=Paramétrage!$C$9,F36=Paramétrage!$C$12,F36=Paramétrage!$C$15,F36=Paramétrage!$C$18,F36=[1]Paramétrage!$C$23,F36=Paramétrage!$C$25,J36="Mut+ext"),"",ROUNDUP(H36/I36,0))</f>
        <v/>
      </c>
      <c r="P36" s="46">
        <f>IF(F36="",0,IF(OR(J36="Mut+ext",VLOOKUP(F36,Paramétrage!$C$6:$E$27,2,0)=0),0,IF(I36="","saisir capacité",G36*O36*VLOOKUP(F36,Paramétrage!$C$6:$E$27,2,0))))</f>
        <v>0</v>
      </c>
      <c r="Q36" s="69"/>
      <c r="R36" s="44">
        <f t="shared" si="13"/>
        <v>0</v>
      </c>
      <c r="S36" s="61">
        <f>IF(F36="",0,IF(ISERROR(Q36+P36*VLOOKUP(F36,Paramétrage!$C$6:$E$27,3,0))=TRUE,R36,Q36+P36*VLOOKUP(F36,Paramétrage!$C$6:$E$27,3,0)))</f>
        <v>0</v>
      </c>
      <c r="T36" s="73"/>
      <c r="U36" s="73"/>
      <c r="V36" s="73"/>
      <c r="W36" s="73"/>
      <c r="X36" s="432">
        <f t="shared" si="10"/>
        <v>0</v>
      </c>
      <c r="Y36" s="453"/>
      <c r="Z36" s="454"/>
      <c r="AA36" s="455"/>
      <c r="AB36" s="60">
        <f>IF(B36="",0,IF(D36="",0,IF(SUMIF(B35:B64,B36,H35:H64)=0,0,IF(D36="Obligatoire",AC36/H36,IF(E36="",AC36/SUMIF(B35:B64,B36,H35:H64),AC36/(SUMIF(B35:B64,B36,H35:H64)/E36))))))</f>
        <v>0</v>
      </c>
      <c r="AC36" s="45">
        <f t="shared" si="14"/>
        <v>0</v>
      </c>
    </row>
    <row r="37" spans="1:29" x14ac:dyDescent="0.25">
      <c r="A37" s="486"/>
      <c r="B37" s="96"/>
      <c r="C37" s="65"/>
      <c r="D37" s="88"/>
      <c r="E37" s="66"/>
      <c r="F37" s="67"/>
      <c r="G37" s="78"/>
      <c r="H37" s="73"/>
      <c r="I37" s="83"/>
      <c r="J37" s="70"/>
      <c r="K37" s="454"/>
      <c r="L37" s="454"/>
      <c r="M37" s="454"/>
      <c r="N37" s="456"/>
      <c r="O37" s="428" t="str">
        <f>IF(OR(I37="",F37=Paramétrage!$C$9,F37=Paramétrage!$C$12,F37=Paramétrage!$C$15,F37=Paramétrage!$C$18,F37=[1]Paramétrage!$C$23,F37=Paramétrage!$C$25,J37="Mut+ext"),"",ROUNDUP(H37/I37,0))</f>
        <v/>
      </c>
      <c r="P37" s="46">
        <f>IF(F37="",0,IF(OR(J37="Mut+ext",VLOOKUP(F37,Paramétrage!$C$6:$E$27,2,0)=0),0,IF(I37="","saisir capacité",G37*O37*VLOOKUP(F37,Paramétrage!$C$6:$E$27,2,0))))</f>
        <v>0</v>
      </c>
      <c r="Q37" s="69"/>
      <c r="R37" s="44">
        <f t="shared" si="13"/>
        <v>0</v>
      </c>
      <c r="S37" s="61">
        <f>IF(F37="",0,IF(ISERROR(Q37+P37*VLOOKUP(F37,Paramétrage!$C$6:$E$27,3,0))=TRUE,R37,Q37+P37*VLOOKUP(F37,Paramétrage!$C$6:$E$27,3,0)))</f>
        <v>0</v>
      </c>
      <c r="T37" s="73"/>
      <c r="U37" s="73"/>
      <c r="V37" s="73"/>
      <c r="W37" s="73"/>
      <c r="X37" s="432">
        <f t="shared" si="10"/>
        <v>0</v>
      </c>
      <c r="Y37" s="453"/>
      <c r="Z37" s="454"/>
      <c r="AA37" s="455"/>
      <c r="AB37" s="60">
        <f>IF(B37="",0,IF(D37="",0,IF(SUMIF(B36:B65,B37,H36:H65)=0,0,IF(D37="Obligatoire",AC37/H37,IF(E37="",AC37/SUMIF(B36:B65,B37,H36:H65),AC37/(SUMIF(B36:B65,B37,H36:H65)/E37))))))</f>
        <v>0</v>
      </c>
      <c r="AC37" s="45">
        <f t="shared" si="14"/>
        <v>0</v>
      </c>
    </row>
    <row r="38" spans="1:29" x14ac:dyDescent="0.25">
      <c r="A38" s="486"/>
      <c r="B38" s="96"/>
      <c r="C38" s="65"/>
      <c r="D38" s="88"/>
      <c r="E38" s="66"/>
      <c r="F38" s="67"/>
      <c r="G38" s="78"/>
      <c r="H38" s="73"/>
      <c r="I38" s="83"/>
      <c r="J38" s="70"/>
      <c r="K38" s="454"/>
      <c r="L38" s="454"/>
      <c r="M38" s="454"/>
      <c r="N38" s="456"/>
      <c r="O38" s="428" t="str">
        <f>IF(OR(I38="",F38=Paramétrage!$C$9,F38=Paramétrage!$C$12,F38=Paramétrage!$C$15,F38=Paramétrage!$C$18,F38=[1]Paramétrage!$C$23,F38=Paramétrage!$C$25,J38="Mut+ext"),"",ROUNDUP(H38/I38,0))</f>
        <v/>
      </c>
      <c r="P38" s="46">
        <f>IF(F38="",0,IF(OR(J38="Mut+ext",VLOOKUP(F38,Paramétrage!$C$6:$E$27,2,0)=0),0,IF(I38="","saisir capacité",G38*O38*VLOOKUP(F38,Paramétrage!$C$6:$E$27,2,0))))</f>
        <v>0</v>
      </c>
      <c r="Q38" s="69"/>
      <c r="R38" s="44">
        <f t="shared" si="11"/>
        <v>0</v>
      </c>
      <c r="S38" s="61">
        <f>IF(F38="",0,IF(ISERROR(Q38+P38*VLOOKUP(F38,Paramétrage!$C$6:$E$27,3,0))=TRUE,R38,Q38+P38*VLOOKUP(F38,Paramétrage!$C$6:$E$27,3,0)))</f>
        <v>0</v>
      </c>
      <c r="T38" s="73"/>
      <c r="U38" s="73"/>
      <c r="V38" s="73"/>
      <c r="W38" s="73"/>
      <c r="X38" s="432">
        <f t="shared" si="10"/>
        <v>0</v>
      </c>
      <c r="Y38" s="453"/>
      <c r="Z38" s="454"/>
      <c r="AA38" s="455"/>
      <c r="AB38" s="60">
        <f>IF(B38="",0,IF(D38="",0,IF(SUMIF(B30:B49,B38,H30:H49)=0,0,IF(D38="Obligatoire",AC38/H38,IF(E38="",AC38/SUMIF(B30:B49,B38,H30:H49),AC38/(SUMIF(B30:B49,B38,H30:H49)/E38))))))</f>
        <v>0</v>
      </c>
      <c r="AC38" s="45">
        <f t="shared" si="12"/>
        <v>0</v>
      </c>
    </row>
    <row r="39" spans="1:29" x14ac:dyDescent="0.25">
      <c r="A39" s="486"/>
      <c r="B39" s="96"/>
      <c r="C39" s="65"/>
      <c r="D39" s="88"/>
      <c r="E39" s="66"/>
      <c r="F39" s="67"/>
      <c r="G39" s="78"/>
      <c r="H39" s="73"/>
      <c r="I39" s="83"/>
      <c r="J39" s="70"/>
      <c r="K39" s="454"/>
      <c r="L39" s="454"/>
      <c r="M39" s="454"/>
      <c r="N39" s="456"/>
      <c r="O39" s="428" t="str">
        <f>IF(OR(I39="",F39=Paramétrage!$C$9,F39=Paramétrage!$C$12,F39=Paramétrage!$C$15,F39=Paramétrage!$C$18,F39=[1]Paramétrage!$C$23,F39=Paramétrage!$C$25,J39="Mut+ext"),"",ROUNDUP(H39/I39,0))</f>
        <v/>
      </c>
      <c r="P39" s="46">
        <f>IF(F39="",0,IF(OR(J39="Mut+ext",VLOOKUP(F39,Paramétrage!$C$6:$E$27,2,0)=0),0,IF(I39="","saisir capacité",G39*O39*VLOOKUP(F39,Paramétrage!$C$6:$E$27,2,0))))</f>
        <v>0</v>
      </c>
      <c r="Q39" s="69"/>
      <c r="R39" s="44">
        <f t="shared" si="11"/>
        <v>0</v>
      </c>
      <c r="S39" s="61">
        <f>IF(F39="",0,IF(ISERROR(Q39+P39*VLOOKUP(F39,Paramétrage!$C$6:$E$27,3,0))=TRUE,R39,Q39+P39*VLOOKUP(F39,Paramétrage!$C$6:$E$27,3,0)))</f>
        <v>0</v>
      </c>
      <c r="T39" s="73"/>
      <c r="U39" s="73"/>
      <c r="V39" s="73"/>
      <c r="W39" s="73"/>
      <c r="X39" s="432">
        <f t="shared" si="10"/>
        <v>0</v>
      </c>
      <c r="Y39" s="453"/>
      <c r="Z39" s="454"/>
      <c r="AA39" s="455"/>
      <c r="AB39" s="60">
        <f t="shared" ref="AB39" si="17">IF(B39="",0,IF(D39="",0,IF(SUMIF(B38:B50,B39,H38:H50)=0,0,IF(D39="Obligatoire",AC39/H39,IF(E39="",AC39/SUMIF(B38:B50,B39,H38:H50),AC39/(SUMIF(B38:B50,B39,H38:H50)/E39))))))</f>
        <v>0</v>
      </c>
      <c r="AC39" s="45">
        <f t="shared" si="12"/>
        <v>0</v>
      </c>
    </row>
    <row r="40" spans="1:29" x14ac:dyDescent="0.25">
      <c r="A40" s="486"/>
      <c r="B40" s="96"/>
      <c r="C40" s="65"/>
      <c r="D40" s="88"/>
      <c r="E40" s="66"/>
      <c r="F40" s="67"/>
      <c r="G40" s="78"/>
      <c r="H40" s="73"/>
      <c r="I40" s="83"/>
      <c r="J40" s="70"/>
      <c r="K40" s="454"/>
      <c r="L40" s="454"/>
      <c r="M40" s="454"/>
      <c r="N40" s="456"/>
      <c r="O40" s="428" t="str">
        <f>IF(OR(I40="",F40=Paramétrage!$C$9,F40=Paramétrage!$C$12,F40=Paramétrage!$C$15,F40=Paramétrage!$C$18,F40=[1]Paramétrage!$C$23,F40=Paramétrage!$C$25,J40="Mut+ext"),"",ROUNDUP(H40/I40,0))</f>
        <v/>
      </c>
      <c r="P40" s="46">
        <f>IF(F40="",0,IF(OR(J40="Mut+ext",VLOOKUP(F40,Paramétrage!$C$6:$E$27,2,0)=0),0,IF(I40="","saisir capacité",G40*O40*VLOOKUP(F40,Paramétrage!$C$6:$E$27,2,0))))</f>
        <v>0</v>
      </c>
      <c r="Q40" s="69"/>
      <c r="R40" s="44">
        <f t="shared" si="11"/>
        <v>0</v>
      </c>
      <c r="S40" s="61">
        <f>IF(F40="",0,IF(ISERROR(Q40+P40*VLOOKUP(F40,Paramétrage!$C$6:$E$27,3,0))=TRUE,R40,Q40+P40*VLOOKUP(F40,Paramétrage!$C$6:$E$27,3,0)))</f>
        <v>0</v>
      </c>
      <c r="T40" s="73"/>
      <c r="U40" s="73"/>
      <c r="V40" s="73"/>
      <c r="W40" s="73"/>
      <c r="X40" s="432">
        <f t="shared" si="10"/>
        <v>0</v>
      </c>
      <c r="Y40" s="453"/>
      <c r="Z40" s="454"/>
      <c r="AA40" s="455"/>
      <c r="AB40" s="60">
        <f>IF(B40="",0,IF(D40="",0,IF(SUMIF(B39:B63,B40,H39:H63)=0,0,IF(D40="Obligatoire",AC40/H40,IF(E40="",AC40/SUMIF(B39:B63,B40,H39:H63),AC40/(SUMIF(B39:B63,B40,H39:H63)/E40))))))</f>
        <v>0</v>
      </c>
      <c r="AC40" s="45">
        <f t="shared" si="12"/>
        <v>0</v>
      </c>
    </row>
    <row r="41" spans="1:29" x14ac:dyDescent="0.25">
      <c r="A41" s="486"/>
      <c r="B41" s="96"/>
      <c r="C41" s="65"/>
      <c r="D41" s="88"/>
      <c r="E41" s="66"/>
      <c r="F41" s="67"/>
      <c r="G41" s="78"/>
      <c r="H41" s="73"/>
      <c r="I41" s="83"/>
      <c r="J41" s="70"/>
      <c r="K41" s="454"/>
      <c r="L41" s="454"/>
      <c r="M41" s="454"/>
      <c r="N41" s="456"/>
      <c r="O41" s="428" t="str">
        <f>IF(OR(I41="",F41=Paramétrage!$C$9,F41=Paramétrage!$C$12,F41=Paramétrage!$C$15,F41=Paramétrage!$C$18,F41=[1]Paramétrage!$C$23,F41=Paramétrage!$C$25,J41="Mut+ext"),"",ROUNDUP(H41/I41,0))</f>
        <v/>
      </c>
      <c r="P41" s="46">
        <f>IF(F41="",0,IF(OR(J41="Mut+ext",VLOOKUP(F41,Paramétrage!$C$6:$E$27,2,0)=0),0,IF(I41="","saisir capacité",G41*O41*VLOOKUP(F41,Paramétrage!$C$6:$E$27,2,0))))</f>
        <v>0</v>
      </c>
      <c r="Q41" s="69"/>
      <c r="R41" s="44">
        <f t="shared" si="11"/>
        <v>0</v>
      </c>
      <c r="S41" s="61">
        <f>IF(F41="",0,IF(ISERROR(Q41+P41*VLOOKUP(F41,Paramétrage!$C$6:$E$27,3,0))=TRUE,R41,Q41+P41*VLOOKUP(F41,Paramétrage!$C$6:$E$27,3,0)))</f>
        <v>0</v>
      </c>
      <c r="T41" s="73"/>
      <c r="U41" s="73"/>
      <c r="V41" s="73"/>
      <c r="W41" s="73"/>
      <c r="X41" s="432">
        <f t="shared" si="10"/>
        <v>0</v>
      </c>
      <c r="Y41" s="453"/>
      <c r="Z41" s="454"/>
      <c r="AA41" s="455"/>
      <c r="AB41" s="60">
        <f>IF(B41="",0,IF(D41="",0,IF(SUMIF(B40:B64,B41,H40:H64)=0,0,IF(D41="Obligatoire",AC41/H41,IF(E41="",AC41/SUMIF(B40:B64,B41,H40:H64),AC41/(SUMIF(B40:B64,B41,H40:H64)/E41))))))</f>
        <v>0</v>
      </c>
      <c r="AC41" s="45">
        <f t="shared" si="12"/>
        <v>0</v>
      </c>
    </row>
    <row r="42" spans="1:29" x14ac:dyDescent="0.25">
      <c r="A42" s="486"/>
      <c r="B42" s="96"/>
      <c r="C42" s="65"/>
      <c r="D42" s="88"/>
      <c r="E42" s="66"/>
      <c r="F42" s="67"/>
      <c r="G42" s="78"/>
      <c r="H42" s="73"/>
      <c r="I42" s="83"/>
      <c r="J42" s="70"/>
      <c r="K42" s="454"/>
      <c r="L42" s="454"/>
      <c r="M42" s="454"/>
      <c r="N42" s="456"/>
      <c r="O42" s="428" t="str">
        <f>IF(OR(I42="",F42=Paramétrage!$C$9,F42=Paramétrage!$C$12,F42=Paramétrage!$C$15,F42=Paramétrage!$C$18,F42=[1]Paramétrage!$C$23,F42=Paramétrage!$C$25,J42="Mut+ext"),"",ROUNDUP(H42/I42,0))</f>
        <v/>
      </c>
      <c r="P42" s="46">
        <f>IF(F42="",0,IF(OR(J42="Mut+ext",VLOOKUP(F42,Paramétrage!$C$6:$E$27,2,0)=0),0,IF(I42="","saisir capacité",G42*O42*VLOOKUP(F42,Paramétrage!$C$6:$E$27,2,0))))</f>
        <v>0</v>
      </c>
      <c r="Q42" s="69"/>
      <c r="R42" s="44">
        <f t="shared" si="11"/>
        <v>0</v>
      </c>
      <c r="S42" s="61">
        <f>IF(F42="",0,IF(ISERROR(Q42+P42*VLOOKUP(F42,Paramétrage!$C$6:$E$27,3,0))=TRUE,R42,Q42+P42*VLOOKUP(F42,Paramétrage!$C$6:$E$27,3,0)))</f>
        <v>0</v>
      </c>
      <c r="T42" s="73"/>
      <c r="U42" s="73"/>
      <c r="V42" s="73"/>
      <c r="W42" s="73"/>
      <c r="X42" s="432">
        <f t="shared" si="10"/>
        <v>0</v>
      </c>
      <c r="Y42" s="453"/>
      <c r="Z42" s="454"/>
      <c r="AA42" s="455"/>
      <c r="AB42" s="60">
        <f>IF(B42="",0,IF(D42="",0,IF(SUMIF(B28:B47,B42,H28:H47)=0,0,IF(D42="Obligatoire",AC42/H42,IF(E42="",AC42/SUMIF(B28:B47,B42,H28:H47),AC42/(SUMIF(B28:B47,B42,H28:H47)/E42))))))</f>
        <v>0</v>
      </c>
      <c r="AC42" s="45">
        <f t="shared" ref="AC42:AC47" si="18">G42*H42</f>
        <v>0</v>
      </c>
    </row>
    <row r="43" spans="1:29" x14ac:dyDescent="0.25">
      <c r="A43" s="486"/>
      <c r="B43" s="97"/>
      <c r="C43" s="65"/>
      <c r="D43" s="88"/>
      <c r="E43" s="66"/>
      <c r="F43" s="67"/>
      <c r="G43" s="78"/>
      <c r="H43" s="73"/>
      <c r="I43" s="83"/>
      <c r="J43" s="70"/>
      <c r="K43" s="454"/>
      <c r="L43" s="454"/>
      <c r="M43" s="454"/>
      <c r="N43" s="456"/>
      <c r="O43" s="428" t="str">
        <f>IF(OR(I43="",F43=Paramétrage!$C$9,F43=Paramétrage!$C$12,F43=Paramétrage!$C$15,F43=Paramétrage!$C$18,F43=[1]Paramétrage!$C$23,F43=Paramétrage!$C$25,J43="Mut+ext"),"",ROUNDUP(H43/I43,0))</f>
        <v/>
      </c>
      <c r="P43" s="46">
        <f>IF(F43="",0,IF(OR(J43="Mut+ext",VLOOKUP(F43,Paramétrage!$C$6:$E$27,2,0)=0),0,IF(I43="","saisir capacité",G43*O43*VLOOKUP(F43,Paramétrage!$C$6:$E$27,2,0))))</f>
        <v>0</v>
      </c>
      <c r="Q43" s="69"/>
      <c r="R43" s="44">
        <f t="shared" si="11"/>
        <v>0</v>
      </c>
      <c r="S43" s="61">
        <f>IF(F43="",0,IF(ISERROR(Q43+P43*VLOOKUP(F43,Paramétrage!$C$6:$E$27,3,0))=TRUE,R43,Q43+P43*VLOOKUP(F43,Paramétrage!$C$6:$E$27,3,0)))</f>
        <v>0</v>
      </c>
      <c r="T43" s="73"/>
      <c r="U43" s="73"/>
      <c r="V43" s="73"/>
      <c r="W43" s="73"/>
      <c r="X43" s="432">
        <f t="shared" si="10"/>
        <v>0</v>
      </c>
      <c r="Y43" s="453"/>
      <c r="Z43" s="454"/>
      <c r="AA43" s="455"/>
      <c r="AB43" s="60">
        <f>IF(B43="",0,IF(D43="",0,IF(SUMIF(B28:B47,B43,H28:H47)=0,0,IF(D43="Obligatoire",AC43/H43,IF(E43="",AC43/SUMIF(B28:B47,B43,H28:H47),AC43/(SUMIF(B28:B47,B43,H28:H47)/E43))))))</f>
        <v>0</v>
      </c>
      <c r="AC43" s="45">
        <f t="shared" si="18"/>
        <v>0</v>
      </c>
    </row>
    <row r="44" spans="1:29" x14ac:dyDescent="0.25">
      <c r="A44" s="486"/>
      <c r="B44" s="96"/>
      <c r="C44" s="65"/>
      <c r="D44" s="88"/>
      <c r="E44" s="66"/>
      <c r="F44" s="67"/>
      <c r="G44" s="78"/>
      <c r="H44" s="73"/>
      <c r="I44" s="83"/>
      <c r="J44" s="70"/>
      <c r="K44" s="454"/>
      <c r="L44" s="454"/>
      <c r="M44" s="454"/>
      <c r="N44" s="456"/>
      <c r="O44" s="428" t="str">
        <f>IF(OR(I44="",F44=Paramétrage!$C$9,F44=Paramétrage!$C$12,F44=Paramétrage!$C$15,F44=Paramétrage!$C$18,F44=[1]Paramétrage!$C$23,F44=Paramétrage!$C$25,J44="Mut+ext"),"",ROUNDUP(H44/I44,0))</f>
        <v/>
      </c>
      <c r="P44" s="46">
        <f>IF(F44="",0,IF(OR(J44="Mut+ext",VLOOKUP(F44,Paramétrage!$C$6:$E$27,2,0)=0),0,IF(I44="","saisir capacité",G44*O44*VLOOKUP(F44,Paramétrage!$C$6:$E$27,2,0))))</f>
        <v>0</v>
      </c>
      <c r="Q44" s="69"/>
      <c r="R44" s="44">
        <f t="shared" si="9"/>
        <v>0</v>
      </c>
      <c r="S44" s="61">
        <f>IF(F44="",0,IF(ISERROR(Q44+P44*VLOOKUP(F44,Paramétrage!$C$6:$E$27,3,0))=TRUE,R44,Q44+P44*VLOOKUP(F44,Paramétrage!$C$6:$E$27,3,0)))</f>
        <v>0</v>
      </c>
      <c r="T44" s="73"/>
      <c r="U44" s="73"/>
      <c r="V44" s="73"/>
      <c r="W44" s="73"/>
      <c r="X44" s="432">
        <f t="shared" si="10"/>
        <v>0</v>
      </c>
      <c r="Y44" s="453"/>
      <c r="Z44" s="454"/>
      <c r="AA44" s="455"/>
      <c r="AB44" s="60">
        <f>IF(B44="",0,IF(D44="",0,IF(SUMIF(B28:B47,B44,H28:H47)=0,0,IF(D44="Obligatoire",AC44/H44,IF(E44="",AC44/SUMIF(B28:B47,B44,H28:H47),AC44/(SUMIF(B28:B47,B44,H28:H47)/E44))))))</f>
        <v>0</v>
      </c>
      <c r="AC44" s="45">
        <f t="shared" si="18"/>
        <v>0</v>
      </c>
    </row>
    <row r="45" spans="1:29" x14ac:dyDescent="0.25">
      <c r="A45" s="486"/>
      <c r="B45" s="96"/>
      <c r="C45" s="65"/>
      <c r="D45" s="88"/>
      <c r="E45" s="66"/>
      <c r="F45" s="67"/>
      <c r="G45" s="78"/>
      <c r="H45" s="73"/>
      <c r="I45" s="83"/>
      <c r="J45" s="70"/>
      <c r="K45" s="454"/>
      <c r="L45" s="454"/>
      <c r="M45" s="454"/>
      <c r="N45" s="456"/>
      <c r="O45" s="428" t="str">
        <f>IF(OR(I45="",F45=Paramétrage!$C$9,F45=Paramétrage!$C$12,F45=Paramétrage!$C$15,F45=Paramétrage!$C$18,F45=[1]Paramétrage!$C$23,F45=Paramétrage!$C$25,J45="Mut+ext"),"",ROUNDUP(H45/I45,0))</f>
        <v/>
      </c>
      <c r="P45" s="46">
        <f>IF(F45="",0,IF(OR(J45="Mut+ext",VLOOKUP(F45,Paramétrage!$C$6:$E$27,2,0)=0),0,IF(I45="","saisir capacité",G45*O45*VLOOKUP(F45,Paramétrage!$C$6:$E$27,2,0))))</f>
        <v>0</v>
      </c>
      <c r="Q45" s="69"/>
      <c r="R45" s="44">
        <f t="shared" si="9"/>
        <v>0</v>
      </c>
      <c r="S45" s="61">
        <f>IF(F45="",0,IF(ISERROR(Q45+P45*VLOOKUP(F45,Paramétrage!$C$6:$E$27,3,0))=TRUE,R45,Q45+P45*VLOOKUP(F45,Paramétrage!$C$6:$E$27,3,0)))</f>
        <v>0</v>
      </c>
      <c r="T45" s="75"/>
      <c r="U45" s="75"/>
      <c r="V45" s="75"/>
      <c r="W45" s="75"/>
      <c r="X45" s="432">
        <f t="shared" si="10"/>
        <v>0</v>
      </c>
      <c r="Y45" s="453"/>
      <c r="Z45" s="454"/>
      <c r="AA45" s="455"/>
      <c r="AB45" s="60">
        <f>IF(B45="",0,IF(D45="",0,IF(SUMIF(B28:B47,B45,H28:H47)=0,0,IF(D45="Obligatoire",AC45/H45,IF(E45="",AC45/SUMIF(B28:B47,B45,H28:H47),AC45/(SUMIF(B28:B47,B45,H28:H47)/E45))))))</f>
        <v>0</v>
      </c>
      <c r="AC45" s="45">
        <f t="shared" si="18"/>
        <v>0</v>
      </c>
    </row>
    <row r="46" spans="1:29" x14ac:dyDescent="0.25">
      <c r="A46" s="486"/>
      <c r="B46" s="96"/>
      <c r="C46" s="65"/>
      <c r="D46" s="88"/>
      <c r="E46" s="66"/>
      <c r="F46" s="67"/>
      <c r="G46" s="78"/>
      <c r="H46" s="73"/>
      <c r="I46" s="83"/>
      <c r="J46" s="70"/>
      <c r="K46" s="454"/>
      <c r="L46" s="454"/>
      <c r="M46" s="454"/>
      <c r="N46" s="456"/>
      <c r="O46" s="428" t="str">
        <f>IF(OR(I46="",F46=Paramétrage!$C$9,F46=Paramétrage!$C$12,F46=Paramétrage!$C$15,F46=Paramétrage!$C$18,F46=[1]Paramétrage!$C$23,F46=Paramétrage!$C$25,J46="Mut+ext"),"",ROUNDUP(H46/I46,0))</f>
        <v/>
      </c>
      <c r="P46" s="46">
        <f>IF(F46="",0,IF(OR(J46="Mut+ext",VLOOKUP(F46,Paramétrage!$C$6:$E$27,2,0)=0),0,IF(I46="","saisir capacité",G46*O46*VLOOKUP(F46,Paramétrage!$C$6:$E$27,2,0))))</f>
        <v>0</v>
      </c>
      <c r="Q46" s="69"/>
      <c r="R46" s="44">
        <f t="shared" si="9"/>
        <v>0</v>
      </c>
      <c r="S46" s="61">
        <f>IF(F46="",0,IF(ISERROR(Q46+P46*VLOOKUP(F46,Paramétrage!$C$6:$E$27,3,0))=TRUE,R46,Q46+P46*VLOOKUP(F46,Paramétrage!$C$6:$E$27,3,0)))</f>
        <v>0</v>
      </c>
      <c r="T46" s="74"/>
      <c r="U46" s="74"/>
      <c r="V46" s="74"/>
      <c r="W46" s="74"/>
      <c r="X46" s="432">
        <f t="shared" si="10"/>
        <v>0</v>
      </c>
      <c r="Y46" s="453"/>
      <c r="Z46" s="454"/>
      <c r="AA46" s="455"/>
      <c r="AB46" s="60">
        <f>IF(B46="",0,IF(D46="",0,IF(SUMIF(B28:B47,B46,H28:H47)=0,0,IF(D46="Obligatoire",AC46/H46,IF(E46="",AC46/SUMIF(B28:B47,B46,H28:H47),AC46/(SUMIF(B28:B47,B46,H28:H47)/E46))))))</f>
        <v>0</v>
      </c>
      <c r="AC46" s="45">
        <f t="shared" si="18"/>
        <v>0</v>
      </c>
    </row>
    <row r="47" spans="1:29" x14ac:dyDescent="0.25">
      <c r="A47" s="486"/>
      <c r="B47" s="96"/>
      <c r="C47" s="65"/>
      <c r="D47" s="88"/>
      <c r="E47" s="66"/>
      <c r="F47" s="67"/>
      <c r="G47" s="78"/>
      <c r="H47" s="73"/>
      <c r="I47" s="83"/>
      <c r="J47" s="70"/>
      <c r="K47" s="454"/>
      <c r="L47" s="454"/>
      <c r="M47" s="454"/>
      <c r="N47" s="456"/>
      <c r="O47" s="428" t="str">
        <f>IF(OR(I47="",F47=Paramétrage!$C$9,F47=Paramétrage!$C$12,F47=Paramétrage!$C$15,F47=Paramétrage!$C$18,F47=[1]Paramétrage!$C$23,F47=Paramétrage!$C$25,J47="Mut+ext"),"",ROUNDUP(H47/I47,0))</f>
        <v/>
      </c>
      <c r="P47" s="46">
        <f>IF(F47="",0,IF(OR(J47="Mut+ext",VLOOKUP(F47,Paramétrage!$C$6:$E$27,2,0)=0),0,IF(I47="","saisir capacité",G47*O47*VLOOKUP(F47,Paramétrage!$C$6:$E$27,2,0))))</f>
        <v>0</v>
      </c>
      <c r="Q47" s="69"/>
      <c r="R47" s="44">
        <f t="shared" si="9"/>
        <v>0</v>
      </c>
      <c r="S47" s="61">
        <f>IF(F47="",0,IF(ISERROR(Q47+P47*VLOOKUP(F47,Paramétrage!$C$6:$E$27,3,0))=TRUE,R47,Q47+P47*VLOOKUP(F47,Paramétrage!$C$6:$E$27,3,0)))</f>
        <v>0</v>
      </c>
      <c r="T47" s="73"/>
      <c r="U47" s="73"/>
      <c r="V47" s="73"/>
      <c r="W47" s="73"/>
      <c r="X47" s="432">
        <f t="shared" si="10"/>
        <v>0</v>
      </c>
      <c r="Y47" s="453"/>
      <c r="Z47" s="454"/>
      <c r="AA47" s="455"/>
      <c r="AB47" s="60">
        <f>IF(B47="",0,IF(D47="",0,IF(SUMIF(B28:B47,B47,H28:H47)=0,0,IF(D47="Obligatoire",AC47/H47,IF(E47="",AC47/SUMIF(B28:B47,B47,H28:H47),AC47/(SUMIF(B28:B47,B47,H28:H47)/E47))))))</f>
        <v>0</v>
      </c>
      <c r="AC47" s="45">
        <f t="shared" si="18"/>
        <v>0</v>
      </c>
    </row>
    <row r="48" spans="1:29" ht="16.2" thickBot="1" x14ac:dyDescent="0.3">
      <c r="A48" s="485"/>
      <c r="B48" s="98"/>
      <c r="C48" s="115"/>
      <c r="D48" s="49"/>
      <c r="E48" s="50"/>
      <c r="F48" s="47"/>
      <c r="G48" s="85">
        <f>AB48</f>
        <v>0</v>
      </c>
      <c r="H48" s="79"/>
      <c r="I48" s="84"/>
      <c r="J48" s="90"/>
      <c r="K48" s="107"/>
      <c r="L48" s="107"/>
      <c r="M48" s="107"/>
      <c r="N48" s="108"/>
      <c r="O48" s="51"/>
      <c r="P48" s="109">
        <f>SUM(P28:P47)</f>
        <v>0</v>
      </c>
      <c r="Q48" s="47">
        <f>SUM(Q28:Q47)</f>
        <v>0</v>
      </c>
      <c r="R48" s="52">
        <f t="shared" ref="R48" si="19">P48+Q48</f>
        <v>0</v>
      </c>
      <c r="S48" s="116">
        <f>SUM(S28:S47)</f>
        <v>0</v>
      </c>
      <c r="T48" s="417"/>
      <c r="U48" s="417"/>
      <c r="V48" s="417"/>
      <c r="W48" s="417"/>
      <c r="X48" s="434"/>
      <c r="Y48" s="112"/>
      <c r="Z48" s="112"/>
      <c r="AA48" s="117"/>
      <c r="AB48" s="114">
        <f>SUM(AB28:AB47)</f>
        <v>0</v>
      </c>
      <c r="AC48" s="59">
        <f>SUM(AC28:AC47)</f>
        <v>0</v>
      </c>
    </row>
    <row r="49" spans="1:29" ht="14.4" customHeight="1" x14ac:dyDescent="0.25">
      <c r="A49" s="484" t="s">
        <v>115</v>
      </c>
      <c r="B49" s="95"/>
      <c r="C49" s="99"/>
      <c r="D49" s="87"/>
      <c r="E49" s="63"/>
      <c r="F49" s="64"/>
      <c r="G49" s="77"/>
      <c r="H49" s="72"/>
      <c r="I49" s="100"/>
      <c r="J49" s="89"/>
      <c r="K49" s="458"/>
      <c r="L49" s="458"/>
      <c r="M49" s="458"/>
      <c r="N49" s="471"/>
      <c r="O49" s="428" t="str">
        <f>IF(OR(I49="",F49=Paramétrage!$C$9,F49=Paramétrage!$C$12,F49=Paramétrage!$C$15,F49=Paramétrage!$C$18,F49=[1]Paramétrage!$C$23,F49=Paramétrage!$C$25,J49="Mut+ext"),"",ROUNDUP(H49/I49,0))</f>
        <v/>
      </c>
      <c r="P49" s="101">
        <f>IF(F49="",0,IF(OR(J49="Mut+ext",VLOOKUP(F49,Paramétrage!$C$6:$E$27,2,0)=0),0,IF(I49="","saisir capacité",G49*O49*VLOOKUP(F49,Paramétrage!$C$6:$E$27,2,0))))</f>
        <v>0</v>
      </c>
      <c r="Q49" s="102"/>
      <c r="R49" s="103">
        <f t="shared" ref="R49:R68" si="20">IF(ISERROR(P49+Q49)=TRUE,P49,P49+Q49)</f>
        <v>0</v>
      </c>
      <c r="S49" s="104">
        <f>IF(F49="",0,IF(ISERROR(Q49+P49*VLOOKUP(F49,Paramétrage!$C$6:$E$27,3,0))=TRUE,R49,Q49+P49*VLOOKUP(F49,Paramétrage!$C$6:$E$27,3,0)))</f>
        <v>0</v>
      </c>
      <c r="T49" s="72"/>
      <c r="U49" s="72"/>
      <c r="V49" s="72"/>
      <c r="W49" s="72"/>
      <c r="X49" s="431">
        <f>SUM(T49:W49)</f>
        <v>0</v>
      </c>
      <c r="Y49" s="457"/>
      <c r="Z49" s="458"/>
      <c r="AA49" s="459"/>
      <c r="AB49" s="105">
        <f>IF(B49="",0,IF(D49="",0,IF(SUMIF(B49:B68,B49,H49:H68)=0,0,IF(D49="Obligatoire",AC49/H49,IF(E49="",AC49/SUMIF(B49:B68,B49,H49:H68),AC49/(SUMIF(B49:B68,B49,H49:H68)/E49))))))</f>
        <v>0</v>
      </c>
      <c r="AC49" s="106">
        <f>G49*H49</f>
        <v>0</v>
      </c>
    </row>
    <row r="50" spans="1:29" x14ac:dyDescent="0.25">
      <c r="A50" s="486"/>
      <c r="B50" s="96"/>
      <c r="C50" s="65"/>
      <c r="D50" s="88"/>
      <c r="E50" s="66"/>
      <c r="F50" s="67"/>
      <c r="G50" s="78"/>
      <c r="H50" s="73"/>
      <c r="I50" s="83"/>
      <c r="J50" s="70"/>
      <c r="K50" s="454"/>
      <c r="L50" s="454"/>
      <c r="M50" s="454"/>
      <c r="N50" s="456"/>
      <c r="O50" s="428" t="str">
        <f>IF(OR(I50="",F50=Paramétrage!$C$9,F50=Paramétrage!$C$12,F50=Paramétrage!$C$15,F50=Paramétrage!$C$18,F50=[1]Paramétrage!$C$23,F50=Paramétrage!$C$25,J50="Mut+ext"),"",ROUNDUP(H50/I50,0))</f>
        <v/>
      </c>
      <c r="P50" s="46">
        <f>IF(F50="",0,IF(OR(J50="Mut+ext",VLOOKUP(F50,Paramétrage!$C$6:$E$27,2,0)=0),0,IF(I50="","saisir capacité",G50*O50*VLOOKUP(F50,Paramétrage!$C$6:$E$27,2,0))))</f>
        <v>0</v>
      </c>
      <c r="Q50" s="69"/>
      <c r="R50" s="44">
        <f t="shared" si="20"/>
        <v>0</v>
      </c>
      <c r="S50" s="61">
        <f>IF(F50="",0,IF(ISERROR(Q50+P50*VLOOKUP(F50,Paramétrage!$C$6:$E$27,3,0))=TRUE,R50,Q50+P50*VLOOKUP(F50,Paramétrage!$C$6:$E$27,3,0)))</f>
        <v>0</v>
      </c>
      <c r="T50" s="73"/>
      <c r="U50" s="73"/>
      <c r="V50" s="73"/>
      <c r="W50" s="73"/>
      <c r="X50" s="432">
        <f t="shared" ref="X50:X68" si="21">SUM(T50:W50)</f>
        <v>0</v>
      </c>
      <c r="Y50" s="453"/>
      <c r="Z50" s="454"/>
      <c r="AA50" s="455"/>
      <c r="AB50" s="60">
        <f>IF(B50="",0,IF(D50="",0,IF(SUMIF(B49:B68,B50,H49:H68)=0,0,IF(D50="Obligatoire",AC50/H50,IF(E50="",AC50/SUMIF(B49:B68,B50,H49:H68),AC50/(SUMIF(B49:B68,B50,H49:H68)/E50))))))</f>
        <v>0</v>
      </c>
      <c r="AC50" s="45">
        <f>G50*H50</f>
        <v>0</v>
      </c>
    </row>
    <row r="51" spans="1:29" x14ac:dyDescent="0.25">
      <c r="A51" s="486"/>
      <c r="B51" s="96"/>
      <c r="C51" s="65"/>
      <c r="D51" s="88"/>
      <c r="E51" s="66"/>
      <c r="F51" s="67"/>
      <c r="G51" s="78"/>
      <c r="H51" s="73"/>
      <c r="I51" s="83"/>
      <c r="J51" s="70"/>
      <c r="K51" s="454"/>
      <c r="L51" s="454"/>
      <c r="M51" s="454"/>
      <c r="N51" s="456"/>
      <c r="O51" s="428" t="str">
        <f>IF(OR(I51="",F51=Paramétrage!$C$9,F51=Paramétrage!$C$12,F51=Paramétrage!$C$15,F51=Paramétrage!$C$18,F51=[1]Paramétrage!$C$23,F51=Paramétrage!$C$25,J51="Mut+ext"),"",ROUNDUP(H51/I51,0))</f>
        <v/>
      </c>
      <c r="P51" s="46">
        <f>IF(F51="",0,IF(OR(J51="Mut+ext",VLOOKUP(F51,Paramétrage!$C$6:$E$27,2,0)=0),0,IF(I51="","saisir capacité",G51*O51*VLOOKUP(F51,Paramétrage!$C$6:$E$27,2,0))))</f>
        <v>0</v>
      </c>
      <c r="Q51" s="69"/>
      <c r="R51" s="44">
        <f t="shared" ref="R51:R62" si="22">IF(ISERROR(P51+Q51)=TRUE,P51,P51+Q51)</f>
        <v>0</v>
      </c>
      <c r="S51" s="61">
        <f>IF(F51="",0,IF(ISERROR(Q51+P51*VLOOKUP(F51,Paramétrage!$C$6:$E$27,3,0))=TRUE,R51,Q51+P51*VLOOKUP(F51,Paramétrage!$C$6:$E$27,3,0)))</f>
        <v>0</v>
      </c>
      <c r="T51" s="73"/>
      <c r="U51" s="73"/>
      <c r="V51" s="73"/>
      <c r="W51" s="73"/>
      <c r="X51" s="432">
        <f t="shared" si="21"/>
        <v>0</v>
      </c>
      <c r="Y51" s="453"/>
      <c r="Z51" s="454"/>
      <c r="AA51" s="455"/>
      <c r="AB51" s="60">
        <f t="shared" ref="AB51:AB54" si="23">IF(B51="",0,IF(D51="",0,IF(SUMIF(B50:B69,B51,H50:H69)=0,0,IF(D51="Obligatoire",AC51/H51,IF(E51="",AC51/SUMIF(B50:B69,B51,H50:H69),AC51/(SUMIF(B50:B69,B51,H50:H69)/E51))))))</f>
        <v>0</v>
      </c>
      <c r="AC51" s="45">
        <f t="shared" ref="AC51:AC62" si="24">G51*H51</f>
        <v>0</v>
      </c>
    </row>
    <row r="52" spans="1:29" x14ac:dyDescent="0.25">
      <c r="A52" s="486"/>
      <c r="B52" s="96"/>
      <c r="C52" s="65"/>
      <c r="D52" s="88"/>
      <c r="E52" s="66"/>
      <c r="F52" s="67"/>
      <c r="G52" s="78"/>
      <c r="H52" s="73"/>
      <c r="I52" s="83"/>
      <c r="J52" s="70"/>
      <c r="K52" s="454"/>
      <c r="L52" s="454"/>
      <c r="M52" s="454"/>
      <c r="N52" s="456"/>
      <c r="O52" s="428" t="str">
        <f>IF(OR(I52="",F52=Paramétrage!$C$9,F52=Paramétrage!$C$12,F52=Paramétrage!$C$15,F52=Paramétrage!$C$18,F52=[1]Paramétrage!$C$23,F52=Paramétrage!$C$25,J52="Mut+ext"),"",ROUNDUP(H52/I52,0))</f>
        <v/>
      </c>
      <c r="P52" s="46">
        <f>IF(F52="",0,IF(OR(J52="Mut+ext",VLOOKUP(F52,Paramétrage!$C$6:$E$27,2,0)=0),0,IF(I52="","saisir capacité",G52*O52*VLOOKUP(F52,Paramétrage!$C$6:$E$27,2,0))))</f>
        <v>0</v>
      </c>
      <c r="Q52" s="69"/>
      <c r="R52" s="44">
        <f t="shared" si="22"/>
        <v>0</v>
      </c>
      <c r="S52" s="61">
        <f>IF(F52="",0,IF(ISERROR(Q52+P52*VLOOKUP(F52,Paramétrage!$C$6:$E$27,3,0))=TRUE,R52,Q52+P52*VLOOKUP(F52,Paramétrage!$C$6:$E$27,3,0)))</f>
        <v>0</v>
      </c>
      <c r="T52" s="73"/>
      <c r="U52" s="73"/>
      <c r="V52" s="73"/>
      <c r="W52" s="73"/>
      <c r="X52" s="432">
        <f t="shared" si="21"/>
        <v>0</v>
      </c>
      <c r="Y52" s="453"/>
      <c r="Z52" s="454"/>
      <c r="AA52" s="455"/>
      <c r="AB52" s="60">
        <f t="shared" si="23"/>
        <v>0</v>
      </c>
      <c r="AC52" s="45">
        <f t="shared" si="24"/>
        <v>0</v>
      </c>
    </row>
    <row r="53" spans="1:29" x14ac:dyDescent="0.25">
      <c r="A53" s="486"/>
      <c r="B53" s="96"/>
      <c r="C53" s="65"/>
      <c r="D53" s="88"/>
      <c r="E53" s="66"/>
      <c r="F53" s="67"/>
      <c r="G53" s="78"/>
      <c r="H53" s="73"/>
      <c r="I53" s="83"/>
      <c r="J53" s="70"/>
      <c r="K53" s="454"/>
      <c r="L53" s="454"/>
      <c r="M53" s="454"/>
      <c r="N53" s="456"/>
      <c r="O53" s="428" t="str">
        <f>IF(OR(I53="",F53=Paramétrage!$C$9,F53=Paramétrage!$C$12,F53=Paramétrage!$C$15,F53=Paramétrage!$C$18,F53=[1]Paramétrage!$C$23,F53=Paramétrage!$C$25,J53="Mut+ext"),"",ROUNDUP(H53/I53,0))</f>
        <v/>
      </c>
      <c r="P53" s="46">
        <f>IF(F53="",0,IF(OR(J53="Mut+ext",VLOOKUP(F53,Paramétrage!$C$6:$E$27,2,0)=0),0,IF(I53="","saisir capacité",G53*O53*VLOOKUP(F53,Paramétrage!$C$6:$E$27,2,0))))</f>
        <v>0</v>
      </c>
      <c r="Q53" s="69"/>
      <c r="R53" s="44">
        <f t="shared" si="22"/>
        <v>0</v>
      </c>
      <c r="S53" s="61">
        <f>IF(F53="",0,IF(ISERROR(Q53+P53*VLOOKUP(F53,Paramétrage!$C$6:$E$27,3,0))=TRUE,R53,Q53+P53*VLOOKUP(F53,Paramétrage!$C$6:$E$27,3,0)))</f>
        <v>0</v>
      </c>
      <c r="T53" s="73"/>
      <c r="U53" s="73"/>
      <c r="V53" s="73"/>
      <c r="W53" s="73"/>
      <c r="X53" s="432">
        <f t="shared" si="21"/>
        <v>0</v>
      </c>
      <c r="Y53" s="453"/>
      <c r="Z53" s="454"/>
      <c r="AA53" s="455"/>
      <c r="AB53" s="60">
        <f t="shared" si="23"/>
        <v>0</v>
      </c>
      <c r="AC53" s="45">
        <f t="shared" si="24"/>
        <v>0</v>
      </c>
    </row>
    <row r="54" spans="1:29" x14ac:dyDescent="0.25">
      <c r="A54" s="486"/>
      <c r="B54" s="96"/>
      <c r="C54" s="65"/>
      <c r="D54" s="88"/>
      <c r="E54" s="66"/>
      <c r="F54" s="67"/>
      <c r="G54" s="78"/>
      <c r="H54" s="73"/>
      <c r="I54" s="83"/>
      <c r="J54" s="70"/>
      <c r="K54" s="454"/>
      <c r="L54" s="454"/>
      <c r="M54" s="454"/>
      <c r="N54" s="456"/>
      <c r="O54" s="428" t="str">
        <f>IF(OR(I54="",F54=Paramétrage!$C$9,F54=Paramétrage!$C$12,F54=Paramétrage!$C$15,F54=Paramétrage!$C$18,F54=[1]Paramétrage!$C$23,F54=Paramétrage!$C$25,J54="Mut+ext"),"",ROUNDUP(H54/I54,0))</f>
        <v/>
      </c>
      <c r="P54" s="46">
        <f>IF(F54="",0,IF(OR(J54="Mut+ext",VLOOKUP(F54,Paramétrage!$C$6:$E$27,2,0)=0),0,IF(I54="","saisir capacité",G54*O54*VLOOKUP(F54,Paramétrage!$C$6:$E$27,2,0))))</f>
        <v>0</v>
      </c>
      <c r="Q54" s="69"/>
      <c r="R54" s="44">
        <f t="shared" si="22"/>
        <v>0</v>
      </c>
      <c r="S54" s="61">
        <f>IF(F54="",0,IF(ISERROR(Q54+P54*VLOOKUP(F54,Paramétrage!$C$6:$E$27,3,0))=TRUE,R54,Q54+P54*VLOOKUP(F54,Paramétrage!$C$6:$E$27,3,0)))</f>
        <v>0</v>
      </c>
      <c r="T54" s="73"/>
      <c r="U54" s="73"/>
      <c r="V54" s="73"/>
      <c r="W54" s="73"/>
      <c r="X54" s="432">
        <f t="shared" si="21"/>
        <v>0</v>
      </c>
      <c r="Y54" s="453"/>
      <c r="Z54" s="454"/>
      <c r="AA54" s="455"/>
      <c r="AB54" s="60">
        <f t="shared" si="23"/>
        <v>0</v>
      </c>
      <c r="AC54" s="45">
        <f t="shared" si="24"/>
        <v>0</v>
      </c>
    </row>
    <row r="55" spans="1:29" x14ac:dyDescent="0.25">
      <c r="A55" s="486"/>
      <c r="B55" s="96"/>
      <c r="C55" s="65"/>
      <c r="D55" s="88"/>
      <c r="E55" s="66"/>
      <c r="F55" s="67"/>
      <c r="G55" s="78"/>
      <c r="H55" s="73"/>
      <c r="I55" s="83"/>
      <c r="J55" s="70"/>
      <c r="K55" s="454"/>
      <c r="L55" s="454"/>
      <c r="M55" s="454"/>
      <c r="N55" s="456"/>
      <c r="O55" s="428" t="str">
        <f>IF(OR(I55="",F55=Paramétrage!$C$9,F55=Paramétrage!$C$12,F55=Paramétrage!$C$15,F55=Paramétrage!$C$18,F55=[1]Paramétrage!$C$23,F55=Paramétrage!$C$25,J55="Mut+ext"),"",ROUNDUP(H55/I55,0))</f>
        <v/>
      </c>
      <c r="P55" s="46">
        <f>IF(F55="",0,IF(OR(J55="Mut+ext",VLOOKUP(F55,Paramétrage!$C$6:$E$27,2,0)=0),0,IF(I55="","saisir capacité",G55*O55*VLOOKUP(F55,Paramétrage!$C$6:$E$27,2,0))))</f>
        <v>0</v>
      </c>
      <c r="Q55" s="69"/>
      <c r="R55" s="44">
        <f t="shared" si="22"/>
        <v>0</v>
      </c>
      <c r="S55" s="61">
        <f>IF(F55="",0,IF(ISERROR(Q55+P55*VLOOKUP(F55,Paramétrage!$C$6:$E$27,3,0))=TRUE,R55,Q55+P55*VLOOKUP(F55,Paramétrage!$C$6:$E$27,3,0)))</f>
        <v>0</v>
      </c>
      <c r="T55" s="73"/>
      <c r="U55" s="73"/>
      <c r="V55" s="73"/>
      <c r="W55" s="73"/>
      <c r="X55" s="432">
        <f t="shared" si="21"/>
        <v>0</v>
      </c>
      <c r="Y55" s="453"/>
      <c r="Z55" s="454"/>
      <c r="AA55" s="455"/>
      <c r="AB55" s="60">
        <f t="shared" ref="AB55:AB62" si="25">IF(B55="",0,IF(D55="",0,IF(SUMIF(B54:B85,B55,H54:H85)=0,0,IF(D55="Obligatoire",AC55/H55,IF(E55="",AC55/SUMIF(B54:B85,B55,H54:H85),AC55/(SUMIF(B54:B85,B55,H54:H85)/E55))))))</f>
        <v>0</v>
      </c>
      <c r="AC55" s="45">
        <f t="shared" si="24"/>
        <v>0</v>
      </c>
    </row>
    <row r="56" spans="1:29" x14ac:dyDescent="0.25">
      <c r="A56" s="486"/>
      <c r="B56" s="96"/>
      <c r="C56" s="65"/>
      <c r="D56" s="88"/>
      <c r="E56" s="66"/>
      <c r="F56" s="67"/>
      <c r="G56" s="78"/>
      <c r="H56" s="73"/>
      <c r="I56" s="83"/>
      <c r="J56" s="70"/>
      <c r="K56" s="454"/>
      <c r="L56" s="454"/>
      <c r="M56" s="454"/>
      <c r="N56" s="456"/>
      <c r="O56" s="428" t="str">
        <f>IF(OR(I56="",F56=Paramétrage!$C$9,F56=Paramétrage!$C$12,F56=Paramétrage!$C$15,F56=Paramétrage!$C$18,F56=[1]Paramétrage!$C$23,F56=Paramétrage!$C$25,J56="Mut+ext"),"",ROUNDUP(H56/I56,0))</f>
        <v/>
      </c>
      <c r="P56" s="46">
        <f>IF(F56="",0,IF(OR(J56="Mut+ext",VLOOKUP(F56,Paramétrage!$C$6:$E$27,2,0)=0),0,IF(I56="","saisir capacité",G56*O56*VLOOKUP(F56,Paramétrage!$C$6:$E$27,2,0))))</f>
        <v>0</v>
      </c>
      <c r="Q56" s="69"/>
      <c r="R56" s="44">
        <f t="shared" si="22"/>
        <v>0</v>
      </c>
      <c r="S56" s="61">
        <f>IF(F56="",0,IF(ISERROR(Q56+P56*VLOOKUP(F56,Paramétrage!$C$6:$E$27,3,0))=TRUE,R56,Q56+P56*VLOOKUP(F56,Paramétrage!$C$6:$E$27,3,0)))</f>
        <v>0</v>
      </c>
      <c r="T56" s="73"/>
      <c r="U56" s="73"/>
      <c r="V56" s="73"/>
      <c r="W56" s="73"/>
      <c r="X56" s="432">
        <f t="shared" si="21"/>
        <v>0</v>
      </c>
      <c r="Y56" s="453"/>
      <c r="Z56" s="454"/>
      <c r="AA56" s="455"/>
      <c r="AB56" s="60">
        <f t="shared" si="25"/>
        <v>0</v>
      </c>
      <c r="AC56" s="45">
        <f t="shared" si="24"/>
        <v>0</v>
      </c>
    </row>
    <row r="57" spans="1:29" x14ac:dyDescent="0.25">
      <c r="A57" s="486"/>
      <c r="B57" s="96"/>
      <c r="C57" s="65"/>
      <c r="D57" s="88"/>
      <c r="E57" s="66"/>
      <c r="F57" s="67"/>
      <c r="G57" s="78"/>
      <c r="H57" s="73"/>
      <c r="I57" s="83"/>
      <c r="J57" s="70"/>
      <c r="K57" s="454"/>
      <c r="L57" s="454"/>
      <c r="M57" s="454"/>
      <c r="N57" s="456"/>
      <c r="O57" s="428" t="str">
        <f>IF(OR(I57="",F57=Paramétrage!$C$9,F57=Paramétrage!$C$12,F57=Paramétrage!$C$15,F57=Paramétrage!$C$18,F57=[1]Paramétrage!$C$23,F57=Paramétrage!$C$25,J57="Mut+ext"),"",ROUNDUP(H57/I57,0))</f>
        <v/>
      </c>
      <c r="P57" s="46">
        <f>IF(F57="",0,IF(OR(J57="Mut+ext",VLOOKUP(F57,Paramétrage!$C$6:$E$27,2,0)=0),0,IF(I57="","saisir capacité",G57*O57*VLOOKUP(F57,Paramétrage!$C$6:$E$27,2,0))))</f>
        <v>0</v>
      </c>
      <c r="Q57" s="69"/>
      <c r="R57" s="44">
        <f t="shared" si="22"/>
        <v>0</v>
      </c>
      <c r="S57" s="61">
        <f>IF(F57="",0,IF(ISERROR(Q57+P57*VLOOKUP(F57,Paramétrage!$C$6:$E$27,3,0))=TRUE,R57,Q57+P57*VLOOKUP(F57,Paramétrage!$C$6:$E$27,3,0)))</f>
        <v>0</v>
      </c>
      <c r="T57" s="73"/>
      <c r="U57" s="73"/>
      <c r="V57" s="73"/>
      <c r="W57" s="73"/>
      <c r="X57" s="432">
        <f t="shared" si="21"/>
        <v>0</v>
      </c>
      <c r="Y57" s="453"/>
      <c r="Z57" s="454"/>
      <c r="AA57" s="455"/>
      <c r="AB57" s="60">
        <f t="shared" si="25"/>
        <v>0</v>
      </c>
      <c r="AC57" s="45">
        <f t="shared" si="24"/>
        <v>0</v>
      </c>
    </row>
    <row r="58" spans="1:29" x14ac:dyDescent="0.25">
      <c r="A58" s="486"/>
      <c r="B58" s="96"/>
      <c r="C58" s="65"/>
      <c r="D58" s="88"/>
      <c r="E58" s="66"/>
      <c r="F58" s="67"/>
      <c r="G58" s="78"/>
      <c r="H58" s="73"/>
      <c r="I58" s="83"/>
      <c r="J58" s="70"/>
      <c r="K58" s="454"/>
      <c r="L58" s="454"/>
      <c r="M58" s="454"/>
      <c r="N58" s="456"/>
      <c r="O58" s="428" t="str">
        <f>IF(OR(I58="",F58=Paramétrage!$C$9,F58=Paramétrage!$C$12,F58=Paramétrage!$C$15,F58=Paramétrage!$C$18,F58=[1]Paramétrage!$C$23,F58=Paramétrage!$C$25,J58="Mut+ext"),"",ROUNDUP(H58/I58,0))</f>
        <v/>
      </c>
      <c r="P58" s="46">
        <f>IF(F58="",0,IF(OR(J58="Mut+ext",VLOOKUP(F58,Paramétrage!$C$6:$E$27,2,0)=0),0,IF(I58="","saisir capacité",G58*O58*VLOOKUP(F58,Paramétrage!$C$6:$E$27,2,0))))</f>
        <v>0</v>
      </c>
      <c r="Q58" s="69"/>
      <c r="R58" s="44">
        <f t="shared" si="22"/>
        <v>0</v>
      </c>
      <c r="S58" s="61">
        <f>IF(F58="",0,IF(ISERROR(Q58+P58*VLOOKUP(F58,Paramétrage!$C$6:$E$27,3,0))=TRUE,R58,Q58+P58*VLOOKUP(F58,Paramétrage!$C$6:$E$27,3,0)))</f>
        <v>0</v>
      </c>
      <c r="T58" s="73"/>
      <c r="U58" s="73"/>
      <c r="V58" s="73"/>
      <c r="W58" s="73"/>
      <c r="X58" s="432">
        <f t="shared" si="21"/>
        <v>0</v>
      </c>
      <c r="Y58" s="453"/>
      <c r="Z58" s="454"/>
      <c r="AA58" s="455"/>
      <c r="AB58" s="60">
        <f t="shared" si="25"/>
        <v>0</v>
      </c>
      <c r="AC58" s="45">
        <f t="shared" si="24"/>
        <v>0</v>
      </c>
    </row>
    <row r="59" spans="1:29" x14ac:dyDescent="0.25">
      <c r="A59" s="486"/>
      <c r="B59" s="96"/>
      <c r="C59" s="65"/>
      <c r="D59" s="88"/>
      <c r="E59" s="66"/>
      <c r="F59" s="67"/>
      <c r="G59" s="78"/>
      <c r="H59" s="73"/>
      <c r="I59" s="83"/>
      <c r="J59" s="70"/>
      <c r="K59" s="454"/>
      <c r="L59" s="454"/>
      <c r="M59" s="454"/>
      <c r="N59" s="456"/>
      <c r="O59" s="428" t="str">
        <f>IF(OR(I59="",F59=Paramétrage!$C$9,F59=Paramétrage!$C$12,F59=Paramétrage!$C$15,F59=Paramétrage!$C$18,F59=[1]Paramétrage!$C$23,F59=Paramétrage!$C$25,J59="Mut+ext"),"",ROUNDUP(H59/I59,0))</f>
        <v/>
      </c>
      <c r="P59" s="46">
        <f>IF(F59="",0,IF(OR(J59="Mut+ext",VLOOKUP(F59,Paramétrage!$C$6:$E$27,2,0)=0),0,IF(I59="","saisir capacité",G59*O59*VLOOKUP(F59,Paramétrage!$C$6:$E$27,2,0))))</f>
        <v>0</v>
      </c>
      <c r="Q59" s="69"/>
      <c r="R59" s="44">
        <f t="shared" si="22"/>
        <v>0</v>
      </c>
      <c r="S59" s="61">
        <f>IF(F59="",0,IF(ISERROR(Q59+P59*VLOOKUP(F59,Paramétrage!$C$6:$E$27,3,0))=TRUE,R59,Q59+P59*VLOOKUP(F59,Paramétrage!$C$6:$E$27,3,0)))</f>
        <v>0</v>
      </c>
      <c r="T59" s="73"/>
      <c r="U59" s="73"/>
      <c r="V59" s="73"/>
      <c r="W59" s="73"/>
      <c r="X59" s="432">
        <f t="shared" si="21"/>
        <v>0</v>
      </c>
      <c r="Y59" s="453"/>
      <c r="Z59" s="454"/>
      <c r="AA59" s="455"/>
      <c r="AB59" s="60">
        <f t="shared" si="25"/>
        <v>0</v>
      </c>
      <c r="AC59" s="45">
        <f t="shared" si="24"/>
        <v>0</v>
      </c>
    </row>
    <row r="60" spans="1:29" x14ac:dyDescent="0.25">
      <c r="A60" s="486"/>
      <c r="B60" s="96"/>
      <c r="C60" s="65"/>
      <c r="D60" s="88"/>
      <c r="E60" s="66"/>
      <c r="F60" s="67"/>
      <c r="G60" s="78"/>
      <c r="H60" s="73"/>
      <c r="I60" s="83"/>
      <c r="J60" s="70"/>
      <c r="K60" s="454"/>
      <c r="L60" s="454"/>
      <c r="M60" s="454"/>
      <c r="N60" s="456"/>
      <c r="O60" s="428" t="str">
        <f>IF(OR(I60="",F60=Paramétrage!$C$9,F60=Paramétrage!$C$12,F60=Paramétrage!$C$15,F60=Paramétrage!$C$18,F60=[1]Paramétrage!$C$23,F60=Paramétrage!$C$25,J60="Mut+ext"),"",ROUNDUP(H60/I60,0))</f>
        <v/>
      </c>
      <c r="P60" s="46">
        <f>IF(F60="",0,IF(OR(J60="Mut+ext",VLOOKUP(F60,Paramétrage!$C$6:$E$27,2,0)=0),0,IF(I60="","saisir capacité",G60*O60*VLOOKUP(F60,Paramétrage!$C$6:$E$27,2,0))))</f>
        <v>0</v>
      </c>
      <c r="Q60" s="69"/>
      <c r="R60" s="44">
        <f t="shared" si="22"/>
        <v>0</v>
      </c>
      <c r="S60" s="61">
        <f>IF(F60="",0,IF(ISERROR(Q60+P60*VLOOKUP(F60,Paramétrage!$C$6:$E$27,3,0))=TRUE,R60,Q60+P60*VLOOKUP(F60,Paramétrage!$C$6:$E$27,3,0)))</f>
        <v>0</v>
      </c>
      <c r="T60" s="73"/>
      <c r="U60" s="73"/>
      <c r="V60" s="73"/>
      <c r="W60" s="73"/>
      <c r="X60" s="432">
        <f t="shared" si="21"/>
        <v>0</v>
      </c>
      <c r="Y60" s="453"/>
      <c r="Z60" s="454"/>
      <c r="AA60" s="455"/>
      <c r="AB60" s="60">
        <f t="shared" si="25"/>
        <v>0</v>
      </c>
      <c r="AC60" s="45">
        <f t="shared" si="24"/>
        <v>0</v>
      </c>
    </row>
    <row r="61" spans="1:29" x14ac:dyDescent="0.25">
      <c r="A61" s="486"/>
      <c r="B61" s="96"/>
      <c r="C61" s="65"/>
      <c r="D61" s="88"/>
      <c r="E61" s="66"/>
      <c r="F61" s="67"/>
      <c r="G61" s="78"/>
      <c r="H61" s="73"/>
      <c r="I61" s="83"/>
      <c r="J61" s="70"/>
      <c r="K61" s="454"/>
      <c r="L61" s="454"/>
      <c r="M61" s="454"/>
      <c r="N61" s="456"/>
      <c r="O61" s="428" t="str">
        <f>IF(OR(I61="",F61=Paramétrage!$C$9,F61=Paramétrage!$C$12,F61=Paramétrage!$C$15,F61=Paramétrage!$C$18,F61=[1]Paramétrage!$C$23,F61=Paramétrage!$C$25,J61="Mut+ext"),"",ROUNDUP(H61/I61,0))</f>
        <v/>
      </c>
      <c r="P61" s="46">
        <f>IF(F61="",0,IF(OR(J61="Mut+ext",VLOOKUP(F61,Paramétrage!$C$6:$E$27,2,0)=0),0,IF(I61="","saisir capacité",G61*O61*VLOOKUP(F61,Paramétrage!$C$6:$E$27,2,0))))</f>
        <v>0</v>
      </c>
      <c r="Q61" s="69"/>
      <c r="R61" s="44">
        <f t="shared" si="22"/>
        <v>0</v>
      </c>
      <c r="S61" s="61">
        <f>IF(F61="",0,IF(ISERROR(Q61+P61*VLOOKUP(F61,Paramétrage!$C$6:$E$27,3,0))=TRUE,R61,Q61+P61*VLOOKUP(F61,Paramétrage!$C$6:$E$27,3,0)))</f>
        <v>0</v>
      </c>
      <c r="T61" s="73"/>
      <c r="U61" s="73"/>
      <c r="V61" s="73"/>
      <c r="W61" s="73"/>
      <c r="X61" s="432">
        <f t="shared" si="21"/>
        <v>0</v>
      </c>
      <c r="Y61" s="453"/>
      <c r="Z61" s="454"/>
      <c r="AA61" s="455"/>
      <c r="AB61" s="60">
        <f t="shared" si="25"/>
        <v>0</v>
      </c>
      <c r="AC61" s="45">
        <f t="shared" si="24"/>
        <v>0</v>
      </c>
    </row>
    <row r="62" spans="1:29" x14ac:dyDescent="0.25">
      <c r="A62" s="486"/>
      <c r="B62" s="96"/>
      <c r="C62" s="65"/>
      <c r="D62" s="88"/>
      <c r="E62" s="66"/>
      <c r="F62" s="67"/>
      <c r="G62" s="78"/>
      <c r="H62" s="73"/>
      <c r="I62" s="83"/>
      <c r="J62" s="70"/>
      <c r="K62" s="454"/>
      <c r="L62" s="454"/>
      <c r="M62" s="454"/>
      <c r="N62" s="456"/>
      <c r="O62" s="428" t="str">
        <f>IF(OR(I62="",F62=Paramétrage!$C$9,F62=Paramétrage!$C$12,F62=Paramétrage!$C$15,F62=Paramétrage!$C$18,F62=[1]Paramétrage!$C$23,F62=Paramétrage!$C$25,J62="Mut+ext"),"",ROUNDUP(H62/I62,0))</f>
        <v/>
      </c>
      <c r="P62" s="46">
        <f>IF(F62="",0,IF(OR(J62="Mut+ext",VLOOKUP(F62,Paramétrage!$C$6:$E$27,2,0)=0),0,IF(I62="","saisir capacité",G62*O62*VLOOKUP(F62,Paramétrage!$C$6:$E$27,2,0))))</f>
        <v>0</v>
      </c>
      <c r="Q62" s="69"/>
      <c r="R62" s="44">
        <f t="shared" si="22"/>
        <v>0</v>
      </c>
      <c r="S62" s="61">
        <f>IF(F62="",0,IF(ISERROR(Q62+P62*VLOOKUP(F62,Paramétrage!$C$6:$E$27,3,0))=TRUE,R62,Q62+P62*VLOOKUP(F62,Paramétrage!$C$6:$E$27,3,0)))</f>
        <v>0</v>
      </c>
      <c r="T62" s="73"/>
      <c r="U62" s="73"/>
      <c r="V62" s="73"/>
      <c r="W62" s="73"/>
      <c r="X62" s="432">
        <f t="shared" si="21"/>
        <v>0</v>
      </c>
      <c r="Y62" s="453"/>
      <c r="Z62" s="454"/>
      <c r="AA62" s="455"/>
      <c r="AB62" s="60">
        <f t="shared" si="25"/>
        <v>0</v>
      </c>
      <c r="AC62" s="45">
        <f t="shared" si="24"/>
        <v>0</v>
      </c>
    </row>
    <row r="63" spans="1:29" x14ac:dyDescent="0.25">
      <c r="A63" s="486"/>
      <c r="B63" s="96"/>
      <c r="C63" s="65"/>
      <c r="D63" s="88"/>
      <c r="E63" s="66"/>
      <c r="F63" s="67"/>
      <c r="G63" s="78"/>
      <c r="H63" s="73"/>
      <c r="I63" s="83"/>
      <c r="J63" s="70"/>
      <c r="K63" s="454"/>
      <c r="L63" s="454"/>
      <c r="M63" s="454"/>
      <c r="N63" s="456"/>
      <c r="O63" s="428" t="str">
        <f>IF(OR(I63="",F63=Paramétrage!$C$9,F63=Paramétrage!$C$12,F63=Paramétrage!$C$15,F63=Paramétrage!$C$18,F63=[1]Paramétrage!$C$23,F63=Paramétrage!$C$25,J63="Mut+ext"),"",ROUNDUP(H63/I63,0))</f>
        <v/>
      </c>
      <c r="P63" s="46">
        <f>IF(F63="",0,IF(OR(J63="Mut+ext",VLOOKUP(F63,Paramétrage!$C$6:$E$27,2,0)=0),0,IF(I63="","saisir capacité",G63*O63*VLOOKUP(F63,Paramétrage!$C$6:$E$27,2,0))))</f>
        <v>0</v>
      </c>
      <c r="Q63" s="69"/>
      <c r="R63" s="44">
        <f t="shared" si="20"/>
        <v>0</v>
      </c>
      <c r="S63" s="61">
        <f>IF(F63="",0,IF(ISERROR(Q63+P63*VLOOKUP(F63,Paramétrage!$C$6:$E$27,3,0))=TRUE,R63,Q63+P63*VLOOKUP(F63,Paramétrage!$C$6:$E$27,3,0)))</f>
        <v>0</v>
      </c>
      <c r="T63" s="73"/>
      <c r="U63" s="73"/>
      <c r="V63" s="73"/>
      <c r="W63" s="73"/>
      <c r="X63" s="432">
        <f t="shared" si="21"/>
        <v>0</v>
      </c>
      <c r="Y63" s="453"/>
      <c r="Z63" s="454"/>
      <c r="AA63" s="455"/>
      <c r="AB63" s="60">
        <f>IF(B63="",0,IF(D63="",0,IF(SUMIF(B49:B68,B63,H49:H68)=0,0,IF(D63="Obligatoire",AC63/H63,IF(E63="",AC63/SUMIF(B49:B68,B63,H49:H68),AC63/(SUMIF(B49:B68,B63,H49:H68)/E63))))))</f>
        <v>0</v>
      </c>
      <c r="AC63" s="45">
        <f t="shared" ref="AC63:AC68" si="26">G63*H63</f>
        <v>0</v>
      </c>
    </row>
    <row r="64" spans="1:29" x14ac:dyDescent="0.25">
      <c r="A64" s="486"/>
      <c r="B64" s="97"/>
      <c r="C64" s="65"/>
      <c r="D64" s="88"/>
      <c r="E64" s="66"/>
      <c r="F64" s="67"/>
      <c r="G64" s="78"/>
      <c r="H64" s="73"/>
      <c r="I64" s="83"/>
      <c r="J64" s="70"/>
      <c r="K64" s="454"/>
      <c r="L64" s="454"/>
      <c r="M64" s="454"/>
      <c r="N64" s="456"/>
      <c r="O64" s="428" t="str">
        <f>IF(OR(I64="",F64=Paramétrage!$C$9,F64=Paramétrage!$C$12,F64=Paramétrage!$C$15,F64=Paramétrage!$C$18,F64=[1]Paramétrage!$C$23,F64=Paramétrage!$C$25,J64="Mut+ext"),"",ROUNDUP(H64/I64,0))</f>
        <v/>
      </c>
      <c r="P64" s="46">
        <f>IF(F64="",0,IF(OR(J64="Mut+ext",VLOOKUP(F64,Paramétrage!$C$6:$E$27,2,0)=0),0,IF(I64="","saisir capacité",G64*O64*VLOOKUP(F64,Paramétrage!$C$6:$E$27,2,0))))</f>
        <v>0</v>
      </c>
      <c r="Q64" s="69"/>
      <c r="R64" s="44">
        <f t="shared" si="20"/>
        <v>0</v>
      </c>
      <c r="S64" s="61">
        <f>IF(F64="",0,IF(ISERROR(Q64+P64*VLOOKUP(F64,Paramétrage!$C$6:$E$27,3,0))=TRUE,R64,Q64+P64*VLOOKUP(F64,Paramétrage!$C$6:$E$27,3,0)))</f>
        <v>0</v>
      </c>
      <c r="T64" s="73"/>
      <c r="U64" s="73"/>
      <c r="V64" s="73"/>
      <c r="W64" s="73"/>
      <c r="X64" s="432">
        <f t="shared" si="21"/>
        <v>0</v>
      </c>
      <c r="Y64" s="453"/>
      <c r="Z64" s="454"/>
      <c r="AA64" s="455"/>
      <c r="AB64" s="60">
        <f>IF(B64="",0,IF(D64="",0,IF(SUMIF(B49:B68,B64,H49:H68)=0,0,IF(D64="Obligatoire",AC64/H64,IF(E64="",AC64/SUMIF(B49:B68,B64,H49:H68),AC64/(SUMIF(B49:B68,B64,H49:H68)/E64))))))</f>
        <v>0</v>
      </c>
      <c r="AC64" s="45">
        <f t="shared" si="26"/>
        <v>0</v>
      </c>
    </row>
    <row r="65" spans="1:29" x14ac:dyDescent="0.25">
      <c r="A65" s="486"/>
      <c r="B65" s="96"/>
      <c r="C65" s="65"/>
      <c r="D65" s="88"/>
      <c r="E65" s="66"/>
      <c r="F65" s="67"/>
      <c r="G65" s="78"/>
      <c r="H65" s="73"/>
      <c r="I65" s="83"/>
      <c r="J65" s="70"/>
      <c r="K65" s="454"/>
      <c r="L65" s="454"/>
      <c r="M65" s="454"/>
      <c r="N65" s="456"/>
      <c r="O65" s="428" t="str">
        <f>IF(OR(I65="",F65=Paramétrage!$C$9,F65=Paramétrage!$C$12,F65=Paramétrage!$C$15,F65=Paramétrage!$C$18,F65=[1]Paramétrage!$C$23,F65=Paramétrage!$C$25,J65="Mut+ext"),"",ROUNDUP(H65/I65,0))</f>
        <v/>
      </c>
      <c r="P65" s="46">
        <f>IF(F65="",0,IF(OR(J65="Mut+ext",VLOOKUP(F65,Paramétrage!$C$6:$E$27,2,0)=0),0,IF(I65="","saisir capacité",G65*O65*VLOOKUP(F65,Paramétrage!$C$6:$E$27,2,0))))</f>
        <v>0</v>
      </c>
      <c r="Q65" s="69"/>
      <c r="R65" s="44">
        <f t="shared" si="20"/>
        <v>0</v>
      </c>
      <c r="S65" s="61">
        <f>IF(F65="",0,IF(ISERROR(Q65+P65*VLOOKUP(F65,Paramétrage!$C$6:$E$27,3,0))=TRUE,R65,Q65+P65*VLOOKUP(F65,Paramétrage!$C$6:$E$27,3,0)))</f>
        <v>0</v>
      </c>
      <c r="T65" s="73"/>
      <c r="U65" s="73"/>
      <c r="V65" s="73"/>
      <c r="W65" s="73"/>
      <c r="X65" s="432">
        <f t="shared" si="21"/>
        <v>0</v>
      </c>
      <c r="Y65" s="453"/>
      <c r="Z65" s="454"/>
      <c r="AA65" s="455"/>
      <c r="AB65" s="60">
        <f>IF(B65="",0,IF(D65="",0,IF(SUMIF(B49:B68,B65,H49:H68)=0,0,IF(D65="Obligatoire",AC65/H65,IF(E65="",AC65/SUMIF(B49:B68,B65,H49:H68),AC65/(SUMIF(B49:B68,B65,H49:H68)/E65))))))</f>
        <v>0</v>
      </c>
      <c r="AC65" s="45">
        <f t="shared" si="26"/>
        <v>0</v>
      </c>
    </row>
    <row r="66" spans="1:29" x14ac:dyDescent="0.25">
      <c r="A66" s="486"/>
      <c r="B66" s="96"/>
      <c r="C66" s="65"/>
      <c r="D66" s="88"/>
      <c r="E66" s="66"/>
      <c r="F66" s="67"/>
      <c r="G66" s="78"/>
      <c r="H66" s="73"/>
      <c r="I66" s="83"/>
      <c r="J66" s="70"/>
      <c r="K66" s="454"/>
      <c r="L66" s="454"/>
      <c r="M66" s="454"/>
      <c r="N66" s="456"/>
      <c r="O66" s="428" t="str">
        <f>IF(OR(I66="",F66=Paramétrage!$C$9,F66=Paramétrage!$C$12,F66=Paramétrage!$C$15,F66=Paramétrage!$C$18,F66=[1]Paramétrage!$C$23,F66=Paramétrage!$C$25,J66="Mut+ext"),"",ROUNDUP(H66/I66,0))</f>
        <v/>
      </c>
      <c r="P66" s="46">
        <f>IF(F66="",0,IF(OR(J66="Mut+ext",VLOOKUP(F66,Paramétrage!$C$6:$E$27,2,0)=0),0,IF(I66="","saisir capacité",G66*O66*VLOOKUP(F66,Paramétrage!$C$6:$E$27,2,0))))</f>
        <v>0</v>
      </c>
      <c r="Q66" s="69"/>
      <c r="R66" s="44">
        <f t="shared" si="20"/>
        <v>0</v>
      </c>
      <c r="S66" s="61">
        <f>IF(F66="",0,IF(ISERROR(Q66+P66*VLOOKUP(F66,Paramétrage!$C$6:$E$27,3,0))=TRUE,R66,Q66+P66*VLOOKUP(F66,Paramétrage!$C$6:$E$27,3,0)))</f>
        <v>0</v>
      </c>
      <c r="T66" s="75"/>
      <c r="U66" s="75"/>
      <c r="V66" s="75"/>
      <c r="W66" s="75"/>
      <c r="X66" s="432">
        <f t="shared" si="21"/>
        <v>0</v>
      </c>
      <c r="Y66" s="453"/>
      <c r="Z66" s="454"/>
      <c r="AA66" s="455"/>
      <c r="AB66" s="60">
        <f>IF(B66="",0,IF(D66="",0,IF(SUMIF(B49:B68,B66,H49:H68)=0,0,IF(D66="Obligatoire",AC66/H66,IF(E66="",AC66/SUMIF(B49:B68,B66,H49:H68),AC66/(SUMIF(B49:B68,B66,H49:H68)/E66))))))</f>
        <v>0</v>
      </c>
      <c r="AC66" s="45">
        <f t="shared" si="26"/>
        <v>0</v>
      </c>
    </row>
    <row r="67" spans="1:29" x14ac:dyDescent="0.25">
      <c r="A67" s="486"/>
      <c r="B67" s="96"/>
      <c r="C67" s="65"/>
      <c r="D67" s="88"/>
      <c r="E67" s="66"/>
      <c r="F67" s="67"/>
      <c r="G67" s="78"/>
      <c r="H67" s="73"/>
      <c r="I67" s="83"/>
      <c r="J67" s="70"/>
      <c r="K67" s="454"/>
      <c r="L67" s="454"/>
      <c r="M67" s="454"/>
      <c r="N67" s="456"/>
      <c r="O67" s="428" t="str">
        <f>IF(OR(I67="",F67=Paramétrage!$C$9,F67=Paramétrage!$C$12,F67=Paramétrage!$C$15,F67=Paramétrage!$C$18,F67=[1]Paramétrage!$C$23,F67=Paramétrage!$C$25,J67="Mut+ext"),"",ROUNDUP(H67/I67,0))</f>
        <v/>
      </c>
      <c r="P67" s="46">
        <f>IF(F67="",0,IF(OR(J67="Mut+ext",VLOOKUP(F67,Paramétrage!$C$6:$E$27,2,0)=0),0,IF(I67="","saisir capacité",G67*O67*VLOOKUP(F67,Paramétrage!$C$6:$E$27,2,0))))</f>
        <v>0</v>
      </c>
      <c r="Q67" s="69"/>
      <c r="R67" s="44">
        <f t="shared" si="20"/>
        <v>0</v>
      </c>
      <c r="S67" s="61">
        <f>IF(F67="",0,IF(ISERROR(Q67+P67*VLOOKUP(F67,Paramétrage!$C$6:$E$27,3,0))=TRUE,R67,Q67+P67*VLOOKUP(F67,Paramétrage!$C$6:$E$27,3,0)))</f>
        <v>0</v>
      </c>
      <c r="T67" s="74"/>
      <c r="U67" s="74"/>
      <c r="V67" s="74"/>
      <c r="W67" s="74"/>
      <c r="X67" s="432">
        <f t="shared" si="21"/>
        <v>0</v>
      </c>
      <c r="Y67" s="453"/>
      <c r="Z67" s="454"/>
      <c r="AA67" s="455"/>
      <c r="AB67" s="60">
        <f>IF(B67="",0,IF(D67="",0,IF(SUMIF(B49:B68,B67,H49:H68)=0,0,IF(D67="Obligatoire",AC67/H67,IF(E67="",AC67/SUMIF(B49:B68,B67,H49:H68),AC67/(SUMIF(B49:B68,B67,H49:H68)/E67))))))</f>
        <v>0</v>
      </c>
      <c r="AC67" s="45">
        <f t="shared" si="26"/>
        <v>0</v>
      </c>
    </row>
    <row r="68" spans="1:29" ht="15.6" customHeight="1" x14ac:dyDescent="0.25">
      <c r="A68" s="486"/>
      <c r="B68" s="96"/>
      <c r="C68" s="65"/>
      <c r="D68" s="88"/>
      <c r="E68" s="66"/>
      <c r="F68" s="67"/>
      <c r="G68" s="78"/>
      <c r="H68" s="73"/>
      <c r="I68" s="83"/>
      <c r="J68" s="70"/>
      <c r="K68" s="454"/>
      <c r="L68" s="454"/>
      <c r="M68" s="454"/>
      <c r="N68" s="456"/>
      <c r="O68" s="428" t="str">
        <f>IF(OR(I68="",F68=Paramétrage!$C$9,F68=Paramétrage!$C$12,F68=Paramétrage!$C$15,F68=Paramétrage!$C$18,F68=[1]Paramétrage!$C$23,F68=Paramétrage!$C$25,J68="Mut+ext"),"",ROUNDUP(H68/I68,0))</f>
        <v/>
      </c>
      <c r="P68" s="46">
        <f>IF(F68="",0,IF(OR(J68="Mut+ext",VLOOKUP(F68,Paramétrage!$C$6:$E$27,2,0)=0),0,IF(I68="","saisir capacité",G68*O68*VLOOKUP(F68,Paramétrage!$C$6:$E$27,2,0))))</f>
        <v>0</v>
      </c>
      <c r="Q68" s="69"/>
      <c r="R68" s="44">
        <f t="shared" si="20"/>
        <v>0</v>
      </c>
      <c r="S68" s="61">
        <f>IF(F68="",0,IF(ISERROR(Q68+P68*VLOOKUP(F68,Paramétrage!$C$6:$E$27,3,0))=TRUE,R68,Q68+P68*VLOOKUP(F68,Paramétrage!$C$6:$E$27,3,0)))</f>
        <v>0</v>
      </c>
      <c r="T68" s="73"/>
      <c r="U68" s="73"/>
      <c r="V68" s="73"/>
      <c r="W68" s="73"/>
      <c r="X68" s="432">
        <f t="shared" si="21"/>
        <v>0</v>
      </c>
      <c r="Y68" s="453"/>
      <c r="Z68" s="454"/>
      <c r="AA68" s="455"/>
      <c r="AB68" s="60">
        <f>IF(B68="",0,IF(D68="",0,IF(SUMIF(B49:B68,B68,H49:H68)=0,0,IF(D68="Obligatoire",AC68/H68,IF(E68="",AC68/SUMIF(B49:B68,B68,H49:H68),AC68/(SUMIF(B49:B68,B68,H49:H68)/E68))))))</f>
        <v>0</v>
      </c>
      <c r="AC68" s="45">
        <f t="shared" si="26"/>
        <v>0</v>
      </c>
    </row>
    <row r="69" spans="1:29" ht="15.6" customHeight="1" thickBot="1" x14ac:dyDescent="0.3">
      <c r="A69" s="485"/>
      <c r="B69" s="98"/>
      <c r="C69" s="49"/>
      <c r="D69" s="49"/>
      <c r="E69" s="50"/>
      <c r="F69" s="47"/>
      <c r="G69" s="85">
        <f>AB69</f>
        <v>0</v>
      </c>
      <c r="H69" s="79"/>
      <c r="I69" s="84"/>
      <c r="J69" s="90"/>
      <c r="K69" s="107"/>
      <c r="L69" s="107"/>
      <c r="M69" s="107"/>
      <c r="N69" s="108"/>
      <c r="O69" s="51"/>
      <c r="P69" s="109">
        <f>SUM(P49:P68)</f>
        <v>0</v>
      </c>
      <c r="Q69" s="47">
        <v>0</v>
      </c>
      <c r="R69" s="52">
        <f t="shared" ref="R69" si="27">P69+Q69</f>
        <v>0</v>
      </c>
      <c r="S69" s="116">
        <f>SUM(S49:S68)</f>
        <v>0</v>
      </c>
      <c r="T69" s="418"/>
      <c r="U69" s="418"/>
      <c r="V69" s="418"/>
      <c r="W69" s="418"/>
      <c r="X69" s="434"/>
      <c r="Y69" s="111"/>
      <c r="Z69" s="112"/>
      <c r="AA69" s="113"/>
      <c r="AB69" s="114">
        <f>SUM(AB49:AB68)</f>
        <v>0</v>
      </c>
      <c r="AC69" s="59">
        <f>SUM(AC49:AC68)</f>
        <v>0</v>
      </c>
    </row>
    <row r="70" spans="1:29" ht="14.4" customHeight="1" x14ac:dyDescent="0.25">
      <c r="A70" s="484" t="s">
        <v>116</v>
      </c>
      <c r="B70" s="95"/>
      <c r="C70" s="99"/>
      <c r="D70" s="87"/>
      <c r="E70" s="63"/>
      <c r="F70" s="64"/>
      <c r="G70" s="77"/>
      <c r="H70" s="72"/>
      <c r="I70" s="100"/>
      <c r="J70" s="89"/>
      <c r="K70" s="458"/>
      <c r="L70" s="458"/>
      <c r="M70" s="458"/>
      <c r="N70" s="471"/>
      <c r="O70" s="428" t="str">
        <f>IF(OR(I70="",F70=Paramétrage!$C$9,F70=Paramétrage!$C$12,F70=Paramétrage!$C$15,F70=Paramétrage!$C$18,F70=[1]Paramétrage!$C$23,F70=Paramétrage!$C$25,J70="Mut+ext"),"",ROUNDUP(H70/I70,0))</f>
        <v/>
      </c>
      <c r="P70" s="101">
        <f>IF(F70="",0,IF(OR(J70="Mut+ext",VLOOKUP(F70,Paramétrage!$C$6:$E$27,2,0)=0),0,IF(I70="","saisir capacité",G70*O70*VLOOKUP(F70,Paramétrage!$C$6:$E$27,2,0))))</f>
        <v>0</v>
      </c>
      <c r="Q70" s="102"/>
      <c r="R70" s="103">
        <f t="shared" ref="R70:R89" si="28">IF(ISERROR(P70+Q70)=TRUE,P70,P70+Q70)</f>
        <v>0</v>
      </c>
      <c r="S70" s="104">
        <f>IF(F70="",0,IF(ISERROR(Q70+P70*VLOOKUP(F70,Paramétrage!$C$6:$E$27,3,0))=TRUE,R70,Q70+P70*VLOOKUP(F70,Paramétrage!$C$6:$E$27,3,0)))</f>
        <v>0</v>
      </c>
      <c r="T70" s="72"/>
      <c r="U70" s="72"/>
      <c r="V70" s="72"/>
      <c r="W70" s="72"/>
      <c r="X70" s="431">
        <f>SUM(T70:W70)</f>
        <v>0</v>
      </c>
      <c r="Y70" s="457"/>
      <c r="Z70" s="458"/>
      <c r="AA70" s="459"/>
      <c r="AB70" s="105">
        <f>IF(B70="",0,IF(D70="",0,IF(SUMIF(B70:B89,B70,H70:H89)=0,0,IF(D70="Obligatoire",AC70/H70,IF(E70="",AC70/SUMIF(B70:B89,B70,H70:H89),AC70/(SUMIF(B70:B89,B70,H70:H89)/E70))))))</f>
        <v>0</v>
      </c>
      <c r="AC70" s="106">
        <f>G70*H70</f>
        <v>0</v>
      </c>
    </row>
    <row r="71" spans="1:29" x14ac:dyDescent="0.25">
      <c r="A71" s="486"/>
      <c r="B71" s="96"/>
      <c r="C71" s="65"/>
      <c r="D71" s="88"/>
      <c r="E71" s="66"/>
      <c r="F71" s="67"/>
      <c r="G71" s="78"/>
      <c r="H71" s="73"/>
      <c r="I71" s="83"/>
      <c r="J71" s="70"/>
      <c r="K71" s="454"/>
      <c r="L71" s="454"/>
      <c r="M71" s="454"/>
      <c r="N71" s="456"/>
      <c r="O71" s="428" t="str">
        <f>IF(OR(I71="",F71=Paramétrage!$C$9,F71=Paramétrage!$C$12,F71=Paramétrage!$C$15,F71=Paramétrage!$C$18,F71=[1]Paramétrage!$C$23,F71=Paramétrage!$C$25,J71="Mut+ext"),"",ROUNDUP(H71/I71,0))</f>
        <v/>
      </c>
      <c r="P71" s="46">
        <f>IF(F71="",0,IF(OR(J71="Mut+ext",VLOOKUP(F71,Paramétrage!$C$6:$E$27,2,0)=0),0,IF(I71="","saisir capacité",G71*O71*VLOOKUP(F71,Paramétrage!$C$6:$E$27,2,0))))</f>
        <v>0</v>
      </c>
      <c r="Q71" s="69"/>
      <c r="R71" s="44">
        <f t="shared" si="28"/>
        <v>0</v>
      </c>
      <c r="S71" s="61">
        <f>IF(F71="",0,IF(ISERROR(Q71+P71*VLOOKUP(F71,Paramétrage!$C$6:$E$27,3,0))=TRUE,R71,Q71+P71*VLOOKUP(F71,Paramétrage!$C$6:$E$27,3,0)))</f>
        <v>0</v>
      </c>
      <c r="T71" s="73"/>
      <c r="U71" s="73"/>
      <c r="V71" s="73"/>
      <c r="W71" s="73"/>
      <c r="X71" s="432">
        <f t="shared" ref="X71:X89" si="29">SUM(T71:W71)</f>
        <v>0</v>
      </c>
      <c r="Y71" s="453"/>
      <c r="Z71" s="454"/>
      <c r="AA71" s="455"/>
      <c r="AB71" s="60">
        <f>IF(B71="",0,IF(D71="",0,IF(SUMIF(B70:B89,B71,H70:H89)=0,0,IF(D71="Obligatoire",AC71/H71,IF(E71="",AC71/SUMIF(B70:B89,B71,H70:H89),AC71/(SUMIF(B70:B89,B71,H70:H89)/E71))))))</f>
        <v>0</v>
      </c>
      <c r="AC71" s="45">
        <f>G71*H71</f>
        <v>0</v>
      </c>
    </row>
    <row r="72" spans="1:29" x14ac:dyDescent="0.25">
      <c r="A72" s="486"/>
      <c r="B72" s="96"/>
      <c r="C72" s="65"/>
      <c r="D72" s="88"/>
      <c r="E72" s="66"/>
      <c r="F72" s="67"/>
      <c r="G72" s="78"/>
      <c r="H72" s="73"/>
      <c r="I72" s="83"/>
      <c r="J72" s="70"/>
      <c r="K72" s="454"/>
      <c r="L72" s="454"/>
      <c r="M72" s="454"/>
      <c r="N72" s="456"/>
      <c r="O72" s="428" t="str">
        <f>IF(OR(I72="",F72=Paramétrage!$C$9,F72=Paramétrage!$C$12,F72=Paramétrage!$C$15,F72=Paramétrage!$C$18,F72=[1]Paramétrage!$C$23,F72=Paramétrage!$C$25,J72="Mut+ext"),"",ROUNDUP(H72/I72,0))</f>
        <v/>
      </c>
      <c r="P72" s="46">
        <f>IF(F72="",0,IF(OR(J72="Mut+ext",VLOOKUP(F72,Paramétrage!$C$6:$E$27,2,0)=0),0,IF(I72="","saisir capacité",G72*O72*VLOOKUP(F72,Paramétrage!$C$6:$E$27,2,0))))</f>
        <v>0</v>
      </c>
      <c r="Q72" s="69"/>
      <c r="R72" s="44">
        <f t="shared" si="28"/>
        <v>0</v>
      </c>
      <c r="S72" s="61">
        <f>IF(F72="",0,IF(ISERROR(Q72+P72*VLOOKUP(F72,Paramétrage!$C$6:$E$27,3,0))=TRUE,R72,Q72+P72*VLOOKUP(F72,Paramétrage!$C$6:$E$27,3,0)))</f>
        <v>0</v>
      </c>
      <c r="T72" s="73"/>
      <c r="U72" s="73"/>
      <c r="V72" s="73"/>
      <c r="W72" s="73"/>
      <c r="X72" s="432">
        <f t="shared" si="29"/>
        <v>0</v>
      </c>
      <c r="Y72" s="453"/>
      <c r="Z72" s="454"/>
      <c r="AA72" s="455"/>
      <c r="AB72" s="60">
        <f>IF(B72="",0,IF(D72="",0,IF(SUMIF(B70:B89,B72,H70:H89)=0,0,IF(D72="Obligatoire",AC72/H72,IF(E72="",AC72/SUMIF(B70:B89,B72,H70:H89),AC72/(SUMIF(B70:B89,B72,H70:H89)/E72))))))</f>
        <v>0</v>
      </c>
      <c r="AC72" s="45">
        <f>G72*H72</f>
        <v>0</v>
      </c>
    </row>
    <row r="73" spans="1:29" x14ac:dyDescent="0.25">
      <c r="A73" s="486"/>
      <c r="B73" s="96"/>
      <c r="C73" s="65"/>
      <c r="D73" s="88"/>
      <c r="E73" s="66"/>
      <c r="F73" s="67"/>
      <c r="G73" s="78"/>
      <c r="H73" s="73"/>
      <c r="I73" s="83"/>
      <c r="J73" s="70"/>
      <c r="K73" s="454"/>
      <c r="L73" s="454"/>
      <c r="M73" s="454"/>
      <c r="N73" s="456"/>
      <c r="O73" s="428" t="str">
        <f>IF(OR(I73="",F73=Paramétrage!$C$9,F73=Paramétrage!$C$12,F73=Paramétrage!$C$15,F73=Paramétrage!$C$18,F73=[1]Paramétrage!$C$23,F73=Paramétrage!$C$25,J73="Mut+ext"),"",ROUNDUP(H73/I73,0))</f>
        <v/>
      </c>
      <c r="P73" s="46">
        <f>IF(F73="",0,IF(OR(J73="Mut+ext",VLOOKUP(F73,Paramétrage!$C$6:$E$27,2,0)=0),0,IF(I73="","saisir capacité",G73*O73*VLOOKUP(F73,Paramétrage!$C$6:$E$27,2,0))))</f>
        <v>0</v>
      </c>
      <c r="Q73" s="69"/>
      <c r="R73" s="44">
        <f t="shared" ref="R73:R85" si="30">IF(ISERROR(P73+Q73)=TRUE,P73,P73+Q73)</f>
        <v>0</v>
      </c>
      <c r="S73" s="61">
        <f>IF(F73="",0,IF(ISERROR(Q73+P73*VLOOKUP(F73,Paramétrage!$C$6:$E$27,3,0))=TRUE,R73,Q73+P73*VLOOKUP(F73,Paramétrage!$C$6:$E$27,3,0)))</f>
        <v>0</v>
      </c>
      <c r="T73" s="73"/>
      <c r="U73" s="73"/>
      <c r="V73" s="73"/>
      <c r="W73" s="73"/>
      <c r="X73" s="432">
        <f t="shared" si="29"/>
        <v>0</v>
      </c>
      <c r="Y73" s="453"/>
      <c r="Z73" s="454"/>
      <c r="AA73" s="455"/>
      <c r="AB73" s="60">
        <f t="shared" ref="AB73:AB75" si="31">IF(B73="",0,IF(D73="",0,IF(SUMIF(B71:B90,B73,H71:H90)=0,0,IF(D73="Obligatoire",AC73/H73,IF(E73="",AC73/SUMIF(B71:B90,B73,H71:H90),AC73/(SUMIF(B71:B90,B73,H71:H90)/E73))))))</f>
        <v>0</v>
      </c>
      <c r="AC73" s="45">
        <f t="shared" ref="AC73:AC85" si="32">G73*H73</f>
        <v>0</v>
      </c>
    </row>
    <row r="74" spans="1:29" x14ac:dyDescent="0.25">
      <c r="A74" s="486"/>
      <c r="B74" s="96"/>
      <c r="C74" s="65"/>
      <c r="D74" s="88"/>
      <c r="E74" s="66"/>
      <c r="F74" s="67"/>
      <c r="G74" s="78"/>
      <c r="H74" s="73"/>
      <c r="I74" s="83"/>
      <c r="J74" s="70"/>
      <c r="K74" s="454"/>
      <c r="L74" s="454"/>
      <c r="M74" s="454"/>
      <c r="N74" s="456"/>
      <c r="O74" s="428" t="str">
        <f>IF(OR(I74="",F74=Paramétrage!$C$9,F74=Paramétrage!$C$12,F74=Paramétrage!$C$15,F74=Paramétrage!$C$18,F74=[1]Paramétrage!$C$23,F74=Paramétrage!$C$25,J74="Mut+ext"),"",ROUNDUP(H74/I74,0))</f>
        <v/>
      </c>
      <c r="P74" s="46">
        <f>IF(F74="",0,IF(OR(J74="Mut+ext",VLOOKUP(F74,Paramétrage!$C$6:$E$27,2,0)=0),0,IF(I74="","saisir capacité",G74*O74*VLOOKUP(F74,Paramétrage!$C$6:$E$27,2,0))))</f>
        <v>0</v>
      </c>
      <c r="Q74" s="69"/>
      <c r="R74" s="44">
        <f t="shared" si="30"/>
        <v>0</v>
      </c>
      <c r="S74" s="61">
        <f>IF(F74="",0,IF(ISERROR(Q74+P74*VLOOKUP(F74,Paramétrage!$C$6:$E$27,3,0))=TRUE,R74,Q74+P74*VLOOKUP(F74,Paramétrage!$C$6:$E$27,3,0)))</f>
        <v>0</v>
      </c>
      <c r="T74" s="73"/>
      <c r="U74" s="73"/>
      <c r="V74" s="73"/>
      <c r="W74" s="73"/>
      <c r="X74" s="432">
        <f t="shared" si="29"/>
        <v>0</v>
      </c>
      <c r="Y74" s="453"/>
      <c r="Z74" s="454"/>
      <c r="AA74" s="455"/>
      <c r="AB74" s="60">
        <f t="shared" si="31"/>
        <v>0</v>
      </c>
      <c r="AC74" s="45">
        <f t="shared" si="32"/>
        <v>0</v>
      </c>
    </row>
    <row r="75" spans="1:29" x14ac:dyDescent="0.25">
      <c r="A75" s="486"/>
      <c r="B75" s="96"/>
      <c r="C75" s="65"/>
      <c r="D75" s="88"/>
      <c r="E75" s="66"/>
      <c r="F75" s="67"/>
      <c r="G75" s="78"/>
      <c r="H75" s="73"/>
      <c r="I75" s="83"/>
      <c r="J75" s="70"/>
      <c r="K75" s="454"/>
      <c r="L75" s="454"/>
      <c r="M75" s="454"/>
      <c r="N75" s="456"/>
      <c r="O75" s="428" t="str">
        <f>IF(OR(I75="",F75=Paramétrage!$C$9,F75=Paramétrage!$C$12,F75=Paramétrage!$C$15,F75=Paramétrage!$C$18,F75=[1]Paramétrage!$C$23,F75=Paramétrage!$C$25,J75="Mut+ext"),"",ROUNDUP(H75/I75,0))</f>
        <v/>
      </c>
      <c r="P75" s="46">
        <f>IF(F75="",0,IF(OR(J75="Mut+ext",VLOOKUP(F75,Paramétrage!$C$6:$E$27,2,0)=0),0,IF(I75="","saisir capacité",G75*O75*VLOOKUP(F75,Paramétrage!$C$6:$E$27,2,0))))</f>
        <v>0</v>
      </c>
      <c r="Q75" s="69"/>
      <c r="R75" s="44">
        <f t="shared" si="30"/>
        <v>0</v>
      </c>
      <c r="S75" s="61">
        <f>IF(F75="",0,IF(ISERROR(Q75+P75*VLOOKUP(F75,Paramétrage!$C$6:$E$27,3,0))=TRUE,R75,Q75+P75*VLOOKUP(F75,Paramétrage!$C$6:$E$27,3,0)))</f>
        <v>0</v>
      </c>
      <c r="T75" s="73"/>
      <c r="U75" s="73"/>
      <c r="V75" s="73"/>
      <c r="W75" s="73"/>
      <c r="X75" s="432">
        <f t="shared" si="29"/>
        <v>0</v>
      </c>
      <c r="Y75" s="453"/>
      <c r="Z75" s="454"/>
      <c r="AA75" s="455"/>
      <c r="AB75" s="60">
        <f t="shared" si="31"/>
        <v>0</v>
      </c>
      <c r="AC75" s="45">
        <f t="shared" si="32"/>
        <v>0</v>
      </c>
    </row>
    <row r="76" spans="1:29" x14ac:dyDescent="0.25">
      <c r="A76" s="486"/>
      <c r="B76" s="96"/>
      <c r="C76" s="65"/>
      <c r="D76" s="88"/>
      <c r="E76" s="66"/>
      <c r="F76" s="67"/>
      <c r="G76" s="78"/>
      <c r="H76" s="73"/>
      <c r="I76" s="83"/>
      <c r="J76" s="70"/>
      <c r="K76" s="454"/>
      <c r="L76" s="454"/>
      <c r="M76" s="454"/>
      <c r="N76" s="456"/>
      <c r="O76" s="428" t="str">
        <f>IF(OR(I76="",F76=Paramétrage!$C$9,F76=Paramétrage!$C$12,F76=Paramétrage!$C$15,F76=Paramétrage!$C$18,F76=[1]Paramétrage!$C$23,F76=Paramétrage!$C$25,J76="Mut+ext"),"",ROUNDUP(H76/I76,0))</f>
        <v/>
      </c>
      <c r="P76" s="46">
        <f>IF(F76="",0,IF(OR(J76="Mut+ext",VLOOKUP(F76,Paramétrage!$C$6:$E$27,2,0)=0),0,IF(I76="","saisir capacité",G76*O76*VLOOKUP(F76,Paramétrage!$C$6:$E$27,2,0))))</f>
        <v>0</v>
      </c>
      <c r="Q76" s="69"/>
      <c r="R76" s="44">
        <f t="shared" si="30"/>
        <v>0</v>
      </c>
      <c r="S76" s="61">
        <f>IF(F76="",0,IF(ISERROR(Q76+P76*VLOOKUP(F76,Paramétrage!$C$6:$E$27,3,0))=TRUE,R76,Q76+P76*VLOOKUP(F76,Paramétrage!$C$6:$E$27,3,0)))</f>
        <v>0</v>
      </c>
      <c r="T76" s="73"/>
      <c r="U76" s="73"/>
      <c r="V76" s="73"/>
      <c r="W76" s="73"/>
      <c r="X76" s="432">
        <f t="shared" si="29"/>
        <v>0</v>
      </c>
      <c r="Y76" s="453"/>
      <c r="Z76" s="454"/>
      <c r="AA76" s="455"/>
      <c r="AB76" s="60">
        <f t="shared" ref="AB76:AB84" si="33">IF(B76="",0,IF(D76="",0,IF(SUMIF(B74:B105,B76,H74:H105)=0,0,IF(D76="Obligatoire",AC76/H76,IF(E76="",AC76/SUMIF(B74:B105,B76,H74:H105),AC76/(SUMIF(B74:B105,B76,H74:H105)/E76))))))</f>
        <v>0</v>
      </c>
      <c r="AC76" s="45">
        <f t="shared" si="32"/>
        <v>0</v>
      </c>
    </row>
    <row r="77" spans="1:29" x14ac:dyDescent="0.25">
      <c r="A77" s="486"/>
      <c r="B77" s="96"/>
      <c r="C77" s="65"/>
      <c r="D77" s="88"/>
      <c r="E77" s="66"/>
      <c r="F77" s="67"/>
      <c r="G77" s="78"/>
      <c r="H77" s="73"/>
      <c r="I77" s="83"/>
      <c r="J77" s="70"/>
      <c r="K77" s="454"/>
      <c r="L77" s="454"/>
      <c r="M77" s="454"/>
      <c r="N77" s="456"/>
      <c r="O77" s="428" t="str">
        <f>IF(OR(I77="",F77=Paramétrage!$C$9,F77=Paramétrage!$C$12,F77=Paramétrage!$C$15,F77=Paramétrage!$C$18,F77=[1]Paramétrage!$C$23,F77=Paramétrage!$C$25,J77="Mut+ext"),"",ROUNDUP(H77/I77,0))</f>
        <v/>
      </c>
      <c r="P77" s="46">
        <f>IF(F77="",0,IF(OR(J77="Mut+ext",VLOOKUP(F77,Paramétrage!$C$6:$E$27,2,0)=0),0,IF(I77="","saisir capacité",G77*O77*VLOOKUP(F77,Paramétrage!$C$6:$E$27,2,0))))</f>
        <v>0</v>
      </c>
      <c r="Q77" s="69"/>
      <c r="R77" s="44">
        <f t="shared" si="30"/>
        <v>0</v>
      </c>
      <c r="S77" s="61">
        <f>IF(F77="",0,IF(ISERROR(Q77+P77*VLOOKUP(F77,Paramétrage!$C$6:$E$27,3,0))=TRUE,R77,Q77+P77*VLOOKUP(F77,Paramétrage!$C$6:$E$27,3,0)))</f>
        <v>0</v>
      </c>
      <c r="T77" s="73"/>
      <c r="U77" s="73"/>
      <c r="V77" s="73"/>
      <c r="W77" s="73"/>
      <c r="X77" s="432">
        <f t="shared" si="29"/>
        <v>0</v>
      </c>
      <c r="Y77" s="453"/>
      <c r="Z77" s="454"/>
      <c r="AA77" s="455"/>
      <c r="AB77" s="60">
        <f t="shared" si="33"/>
        <v>0</v>
      </c>
      <c r="AC77" s="45">
        <f t="shared" si="32"/>
        <v>0</v>
      </c>
    </row>
    <row r="78" spans="1:29" x14ac:dyDescent="0.25">
      <c r="A78" s="486"/>
      <c r="B78" s="96"/>
      <c r="C78" s="65"/>
      <c r="D78" s="88"/>
      <c r="E78" s="66"/>
      <c r="F78" s="67"/>
      <c r="G78" s="78"/>
      <c r="H78" s="73"/>
      <c r="I78" s="83"/>
      <c r="J78" s="70"/>
      <c r="K78" s="454"/>
      <c r="L78" s="454"/>
      <c r="M78" s="454"/>
      <c r="N78" s="456"/>
      <c r="O78" s="428" t="str">
        <f>IF(OR(I78="",F78=Paramétrage!$C$9,F78=Paramétrage!$C$12,F78=Paramétrage!$C$15,F78=Paramétrage!$C$18,F78=[1]Paramétrage!$C$23,F78=Paramétrage!$C$25,J78="Mut+ext"),"",ROUNDUP(H78/I78,0))</f>
        <v/>
      </c>
      <c r="P78" s="46">
        <f>IF(F78="",0,IF(OR(J78="Mut+ext",VLOOKUP(F78,Paramétrage!$C$6:$E$27,2,0)=0),0,IF(I78="","saisir capacité",G78*O78*VLOOKUP(F78,Paramétrage!$C$6:$E$27,2,0))))</f>
        <v>0</v>
      </c>
      <c r="Q78" s="69"/>
      <c r="R78" s="44">
        <f t="shared" si="30"/>
        <v>0</v>
      </c>
      <c r="S78" s="61">
        <f>IF(F78="",0,IF(ISERROR(Q78+P78*VLOOKUP(F78,Paramétrage!$C$6:$E$27,3,0))=TRUE,R78,Q78+P78*VLOOKUP(F78,Paramétrage!$C$6:$E$27,3,0)))</f>
        <v>0</v>
      </c>
      <c r="T78" s="73"/>
      <c r="U78" s="73"/>
      <c r="V78" s="73"/>
      <c r="W78" s="73"/>
      <c r="X78" s="432">
        <f t="shared" si="29"/>
        <v>0</v>
      </c>
      <c r="Y78" s="453"/>
      <c r="Z78" s="454"/>
      <c r="AA78" s="455"/>
      <c r="AB78" s="60">
        <f t="shared" si="33"/>
        <v>0</v>
      </c>
      <c r="AC78" s="45">
        <f t="shared" si="32"/>
        <v>0</v>
      </c>
    </row>
    <row r="79" spans="1:29" x14ac:dyDescent="0.25">
      <c r="A79" s="486"/>
      <c r="B79" s="96"/>
      <c r="C79" s="65"/>
      <c r="D79" s="88"/>
      <c r="E79" s="66"/>
      <c r="F79" s="67"/>
      <c r="G79" s="78"/>
      <c r="H79" s="73"/>
      <c r="I79" s="83"/>
      <c r="J79" s="70"/>
      <c r="K79" s="454"/>
      <c r="L79" s="454"/>
      <c r="M79" s="454"/>
      <c r="N79" s="456"/>
      <c r="O79" s="428" t="str">
        <f>IF(OR(I79="",F79=Paramétrage!$C$9,F79=Paramétrage!$C$12,F79=Paramétrage!$C$15,F79=Paramétrage!$C$18,F79=[1]Paramétrage!$C$23,F79=Paramétrage!$C$25,J79="Mut+ext"),"",ROUNDUP(H79/I79,0))</f>
        <v/>
      </c>
      <c r="P79" s="46">
        <f>IF(F79="",0,IF(OR(J79="Mut+ext",VLOOKUP(F79,Paramétrage!$C$6:$E$27,2,0)=0),0,IF(I79="","saisir capacité",G79*O79*VLOOKUP(F79,Paramétrage!$C$6:$E$27,2,0))))</f>
        <v>0</v>
      </c>
      <c r="Q79" s="69"/>
      <c r="R79" s="44">
        <f t="shared" si="30"/>
        <v>0</v>
      </c>
      <c r="S79" s="61">
        <f>IF(F79="",0,IF(ISERROR(Q79+P79*VLOOKUP(F79,Paramétrage!$C$6:$E$27,3,0))=TRUE,R79,Q79+P79*VLOOKUP(F79,Paramétrage!$C$6:$E$27,3,0)))</f>
        <v>0</v>
      </c>
      <c r="T79" s="73"/>
      <c r="U79" s="73"/>
      <c r="V79" s="73"/>
      <c r="W79" s="73"/>
      <c r="X79" s="432">
        <f t="shared" si="29"/>
        <v>0</v>
      </c>
      <c r="Y79" s="453"/>
      <c r="Z79" s="454"/>
      <c r="AA79" s="455"/>
      <c r="AB79" s="60">
        <f t="shared" si="33"/>
        <v>0</v>
      </c>
      <c r="AC79" s="45">
        <f t="shared" si="32"/>
        <v>0</v>
      </c>
    </row>
    <row r="80" spans="1:29" x14ac:dyDescent="0.25">
      <c r="A80" s="486"/>
      <c r="B80" s="96"/>
      <c r="C80" s="65"/>
      <c r="D80" s="88"/>
      <c r="E80" s="66"/>
      <c r="F80" s="67"/>
      <c r="G80" s="78"/>
      <c r="H80" s="73"/>
      <c r="I80" s="83"/>
      <c r="J80" s="70"/>
      <c r="K80" s="454"/>
      <c r="L80" s="454"/>
      <c r="M80" s="454"/>
      <c r="N80" s="456"/>
      <c r="O80" s="428" t="str">
        <f>IF(OR(I80="",F80=Paramétrage!$C$9,F80=Paramétrage!$C$12,F80=Paramétrage!$C$15,F80=Paramétrage!$C$18,F80=[1]Paramétrage!$C$23,F80=Paramétrage!$C$25,J80="Mut+ext"),"",ROUNDUP(H80/I80,0))</f>
        <v/>
      </c>
      <c r="P80" s="46">
        <f>IF(F80="",0,IF(OR(J80="Mut+ext",VLOOKUP(F80,Paramétrage!$C$6:$E$27,2,0)=0),0,IF(I80="","saisir capacité",G80*O80*VLOOKUP(F80,Paramétrage!$C$6:$E$27,2,0))))</f>
        <v>0</v>
      </c>
      <c r="Q80" s="69"/>
      <c r="R80" s="44">
        <f t="shared" si="30"/>
        <v>0</v>
      </c>
      <c r="S80" s="61">
        <f>IF(F80="",0,IF(ISERROR(Q80+P80*VLOOKUP(F80,Paramétrage!$C$6:$E$27,3,0))=TRUE,R80,Q80+P80*VLOOKUP(F80,Paramétrage!$C$6:$E$27,3,0)))</f>
        <v>0</v>
      </c>
      <c r="T80" s="73"/>
      <c r="U80" s="73"/>
      <c r="V80" s="73"/>
      <c r="W80" s="73"/>
      <c r="X80" s="432">
        <f t="shared" si="29"/>
        <v>0</v>
      </c>
      <c r="Y80" s="453"/>
      <c r="Z80" s="454"/>
      <c r="AA80" s="455"/>
      <c r="AB80" s="60">
        <f t="shared" si="33"/>
        <v>0</v>
      </c>
      <c r="AC80" s="45">
        <f t="shared" si="32"/>
        <v>0</v>
      </c>
    </row>
    <row r="81" spans="1:29" x14ac:dyDescent="0.25">
      <c r="A81" s="486"/>
      <c r="B81" s="96"/>
      <c r="C81" s="65"/>
      <c r="D81" s="88"/>
      <c r="E81" s="66"/>
      <c r="F81" s="67"/>
      <c r="G81" s="78"/>
      <c r="H81" s="73"/>
      <c r="I81" s="83"/>
      <c r="J81" s="70"/>
      <c r="K81" s="454"/>
      <c r="L81" s="454"/>
      <c r="M81" s="454"/>
      <c r="N81" s="456"/>
      <c r="O81" s="428" t="str">
        <f>IF(OR(I81="",F81=Paramétrage!$C$9,F81=Paramétrage!$C$12,F81=Paramétrage!$C$15,F81=Paramétrage!$C$18,F81=[1]Paramétrage!$C$23,F81=Paramétrage!$C$25,J81="Mut+ext"),"",ROUNDUP(H81/I81,0))</f>
        <v/>
      </c>
      <c r="P81" s="46">
        <f>IF(F81="",0,IF(OR(J81="Mut+ext",VLOOKUP(F81,Paramétrage!$C$6:$E$27,2,0)=0),0,IF(I81="","saisir capacité",G81*O81*VLOOKUP(F81,Paramétrage!$C$6:$E$27,2,0))))</f>
        <v>0</v>
      </c>
      <c r="Q81" s="69"/>
      <c r="R81" s="44">
        <f t="shared" si="30"/>
        <v>0</v>
      </c>
      <c r="S81" s="61">
        <f>IF(F81="",0,IF(ISERROR(Q81+P81*VLOOKUP(F81,Paramétrage!$C$6:$E$27,3,0))=TRUE,R81,Q81+P81*VLOOKUP(F81,Paramétrage!$C$6:$E$27,3,0)))</f>
        <v>0</v>
      </c>
      <c r="T81" s="73"/>
      <c r="U81" s="73"/>
      <c r="V81" s="73"/>
      <c r="W81" s="73"/>
      <c r="X81" s="432">
        <f t="shared" si="29"/>
        <v>0</v>
      </c>
      <c r="Y81" s="453"/>
      <c r="Z81" s="454"/>
      <c r="AA81" s="455"/>
      <c r="AB81" s="60">
        <f t="shared" si="33"/>
        <v>0</v>
      </c>
      <c r="AC81" s="45">
        <f t="shared" si="32"/>
        <v>0</v>
      </c>
    </row>
    <row r="82" spans="1:29" x14ac:dyDescent="0.25">
      <c r="A82" s="486"/>
      <c r="B82" s="96"/>
      <c r="C82" s="65"/>
      <c r="D82" s="88"/>
      <c r="E82" s="66"/>
      <c r="F82" s="67"/>
      <c r="G82" s="78"/>
      <c r="H82" s="73"/>
      <c r="I82" s="83"/>
      <c r="J82" s="70"/>
      <c r="K82" s="454"/>
      <c r="L82" s="454"/>
      <c r="M82" s="454"/>
      <c r="N82" s="456"/>
      <c r="O82" s="428" t="str">
        <f>IF(OR(I82="",F82=Paramétrage!$C$9,F82=Paramétrage!$C$12,F82=Paramétrage!$C$15,F82=Paramétrage!$C$18,F82=[1]Paramétrage!$C$23,F82=Paramétrage!$C$25,J82="Mut+ext"),"",ROUNDUP(H82/I82,0))</f>
        <v/>
      </c>
      <c r="P82" s="46">
        <f>IF(F82="",0,IF(OR(J82="Mut+ext",VLOOKUP(F82,Paramétrage!$C$6:$E$27,2,0)=0),0,IF(I82="","saisir capacité",G82*O82*VLOOKUP(F82,Paramétrage!$C$6:$E$27,2,0))))</f>
        <v>0</v>
      </c>
      <c r="Q82" s="69"/>
      <c r="R82" s="44">
        <f t="shared" si="30"/>
        <v>0</v>
      </c>
      <c r="S82" s="61">
        <f>IF(F82="",0,IF(ISERROR(Q82+P82*VLOOKUP(F82,Paramétrage!$C$6:$E$27,3,0))=TRUE,R82,Q82+P82*VLOOKUP(F82,Paramétrage!$C$6:$E$27,3,0)))</f>
        <v>0</v>
      </c>
      <c r="T82" s="73"/>
      <c r="U82" s="73"/>
      <c r="V82" s="73"/>
      <c r="W82" s="73"/>
      <c r="X82" s="432">
        <f t="shared" si="29"/>
        <v>0</v>
      </c>
      <c r="Y82" s="453"/>
      <c r="Z82" s="454"/>
      <c r="AA82" s="455"/>
      <c r="AB82" s="60">
        <f t="shared" si="33"/>
        <v>0</v>
      </c>
      <c r="AC82" s="45">
        <f t="shared" si="32"/>
        <v>0</v>
      </c>
    </row>
    <row r="83" spans="1:29" x14ac:dyDescent="0.25">
      <c r="A83" s="486"/>
      <c r="B83" s="96"/>
      <c r="C83" s="65"/>
      <c r="D83" s="88"/>
      <c r="E83" s="66"/>
      <c r="F83" s="67"/>
      <c r="G83" s="78"/>
      <c r="H83" s="73"/>
      <c r="I83" s="83"/>
      <c r="J83" s="70"/>
      <c r="K83" s="454"/>
      <c r="L83" s="454"/>
      <c r="M83" s="454"/>
      <c r="N83" s="456"/>
      <c r="O83" s="428" t="str">
        <f>IF(OR(I83="",F83=Paramétrage!$C$9,F83=Paramétrage!$C$12,F83=Paramétrage!$C$15,F83=Paramétrage!$C$18,F83=[1]Paramétrage!$C$23,F83=Paramétrage!$C$25,J83="Mut+ext"),"",ROUNDUP(H83/I83,0))</f>
        <v/>
      </c>
      <c r="P83" s="46">
        <f>IF(F83="",0,IF(OR(J83="Mut+ext",VLOOKUP(F83,Paramétrage!$C$6:$E$27,2,0)=0),0,IF(I83="","saisir capacité",G83*O83*VLOOKUP(F83,Paramétrage!$C$6:$E$27,2,0))))</f>
        <v>0</v>
      </c>
      <c r="Q83" s="69"/>
      <c r="R83" s="44">
        <f t="shared" si="30"/>
        <v>0</v>
      </c>
      <c r="S83" s="61">
        <f>IF(F83="",0,IF(ISERROR(Q83+P83*VLOOKUP(F83,Paramétrage!$C$6:$E$27,3,0))=TRUE,R83,Q83+P83*VLOOKUP(F83,Paramétrage!$C$6:$E$27,3,0)))</f>
        <v>0</v>
      </c>
      <c r="T83" s="73"/>
      <c r="U83" s="73"/>
      <c r="V83" s="73"/>
      <c r="W83" s="73"/>
      <c r="X83" s="432">
        <f t="shared" si="29"/>
        <v>0</v>
      </c>
      <c r="Y83" s="453"/>
      <c r="Z83" s="454"/>
      <c r="AA83" s="455"/>
      <c r="AB83" s="60">
        <f t="shared" si="33"/>
        <v>0</v>
      </c>
      <c r="AC83" s="45">
        <f t="shared" si="32"/>
        <v>0</v>
      </c>
    </row>
    <row r="84" spans="1:29" x14ac:dyDescent="0.25">
      <c r="A84" s="486"/>
      <c r="B84" s="96"/>
      <c r="C84" s="65"/>
      <c r="D84" s="88"/>
      <c r="E84" s="66"/>
      <c r="F84" s="67"/>
      <c r="G84" s="78"/>
      <c r="H84" s="73"/>
      <c r="I84" s="83"/>
      <c r="J84" s="70"/>
      <c r="K84" s="454"/>
      <c r="L84" s="454"/>
      <c r="M84" s="454"/>
      <c r="N84" s="456"/>
      <c r="O84" s="428" t="str">
        <f>IF(OR(I84="",F84=Paramétrage!$C$9,F84=Paramétrage!$C$12,F84=Paramétrage!$C$15,F84=Paramétrage!$C$18,F84=[1]Paramétrage!$C$23,F84=Paramétrage!$C$25,J84="Mut+ext"),"",ROUNDUP(H84/I84,0))</f>
        <v/>
      </c>
      <c r="P84" s="46">
        <f>IF(F84="",0,IF(OR(J84="Mut+ext",VLOOKUP(F84,Paramétrage!$C$6:$E$27,2,0)=0),0,IF(I84="","saisir capacité",G84*O84*VLOOKUP(F84,Paramétrage!$C$6:$E$27,2,0))))</f>
        <v>0</v>
      </c>
      <c r="Q84" s="69"/>
      <c r="R84" s="44">
        <f t="shared" si="30"/>
        <v>0</v>
      </c>
      <c r="S84" s="61">
        <f>IF(F84="",0,IF(ISERROR(Q84+P84*VLOOKUP(F84,Paramétrage!$C$6:$E$27,3,0))=TRUE,R84,Q84+P84*VLOOKUP(F84,Paramétrage!$C$6:$E$27,3,0)))</f>
        <v>0</v>
      </c>
      <c r="T84" s="73"/>
      <c r="U84" s="73"/>
      <c r="V84" s="73"/>
      <c r="W84" s="73"/>
      <c r="X84" s="432">
        <f t="shared" si="29"/>
        <v>0</v>
      </c>
      <c r="Y84" s="453"/>
      <c r="Z84" s="454"/>
      <c r="AA84" s="455"/>
      <c r="AB84" s="60">
        <f t="shared" si="33"/>
        <v>0</v>
      </c>
      <c r="AC84" s="45">
        <f t="shared" si="32"/>
        <v>0</v>
      </c>
    </row>
    <row r="85" spans="1:29" x14ac:dyDescent="0.25">
      <c r="A85" s="486"/>
      <c r="B85" s="96"/>
      <c r="C85" s="65"/>
      <c r="D85" s="88"/>
      <c r="E85" s="66"/>
      <c r="F85" s="67"/>
      <c r="G85" s="78"/>
      <c r="H85" s="73"/>
      <c r="I85" s="83"/>
      <c r="J85" s="70"/>
      <c r="K85" s="454"/>
      <c r="L85" s="454"/>
      <c r="M85" s="454"/>
      <c r="N85" s="456"/>
      <c r="O85" s="428" t="str">
        <f>IF(OR(I85="",F85=Paramétrage!$C$9,F85=Paramétrage!$C$12,F85=Paramétrage!$C$15,F85=Paramétrage!$C$18,F85=[1]Paramétrage!$C$23,F85=Paramétrage!$C$25,J85="Mut+ext"),"",ROUNDUP(H85/I85,0))</f>
        <v/>
      </c>
      <c r="P85" s="46">
        <f>IF(F85="",0,IF(OR(J85="Mut+ext",VLOOKUP(F85,Paramétrage!$C$6:$E$27,2,0)=0),0,IF(I85="","saisir capacité",G85*O85*VLOOKUP(F85,Paramétrage!$C$6:$E$27,2,0))))</f>
        <v>0</v>
      </c>
      <c r="Q85" s="69"/>
      <c r="R85" s="44">
        <f t="shared" si="30"/>
        <v>0</v>
      </c>
      <c r="S85" s="61">
        <f>IF(F85="",0,IF(ISERROR(Q85+P85*VLOOKUP(F85,Paramétrage!$C$6:$E$27,3,0))=TRUE,R85,Q85+P85*VLOOKUP(F85,Paramétrage!$C$6:$E$27,3,0)))</f>
        <v>0</v>
      </c>
      <c r="T85" s="73"/>
      <c r="U85" s="73"/>
      <c r="V85" s="73"/>
      <c r="W85" s="73"/>
      <c r="X85" s="432">
        <f t="shared" si="29"/>
        <v>0</v>
      </c>
      <c r="Y85" s="453"/>
      <c r="Z85" s="454"/>
      <c r="AA85" s="455"/>
      <c r="AB85" s="60">
        <f>IF(B85="",0,IF(D85="",0,IF(SUMIF(B83:B129,B85,H83:H129)=0,0,IF(D85="Obligatoire",AC85/H85,IF(E85="",AC85/SUMIF(B83:B129,B85,H83:H129),AC85/(SUMIF(B83:B129,B85,H83:H129)/E85))))))</f>
        <v>0</v>
      </c>
      <c r="AC85" s="45">
        <f t="shared" si="32"/>
        <v>0</v>
      </c>
    </row>
    <row r="86" spans="1:29" x14ac:dyDescent="0.25">
      <c r="A86" s="486"/>
      <c r="B86" s="96"/>
      <c r="C86" s="65"/>
      <c r="D86" s="88"/>
      <c r="E86" s="66"/>
      <c r="F86" s="67"/>
      <c r="G86" s="78"/>
      <c r="H86" s="73"/>
      <c r="I86" s="83"/>
      <c r="J86" s="70"/>
      <c r="K86" s="454"/>
      <c r="L86" s="454"/>
      <c r="M86" s="454"/>
      <c r="N86" s="456"/>
      <c r="O86" s="428" t="str">
        <f>IF(OR(I86="",F86=Paramétrage!$C$9,F86=Paramétrage!$C$12,F86=Paramétrage!$C$15,F86=Paramétrage!$C$18,F86=[1]Paramétrage!$C$23,F86=Paramétrage!$C$25,J86="Mut+ext"),"",ROUNDUP(H86/I86,0))</f>
        <v/>
      </c>
      <c r="P86" s="46">
        <f>IF(F86="",0,IF(OR(J86="Mut+ext",VLOOKUP(F86,Paramétrage!$C$6:$E$27,2,0)=0),0,IF(I86="","saisir capacité",G86*O86*VLOOKUP(F86,Paramétrage!$C$6:$E$27,2,0))))</f>
        <v>0</v>
      </c>
      <c r="Q86" s="69"/>
      <c r="R86" s="44">
        <f t="shared" si="28"/>
        <v>0</v>
      </c>
      <c r="S86" s="61">
        <f>IF(F86="",0,IF(ISERROR(Q86+P86*VLOOKUP(F86,Paramétrage!$C$6:$E$27,3,0))=TRUE,R86,Q86+P86*VLOOKUP(F86,Paramétrage!$C$6:$E$27,3,0)))</f>
        <v>0</v>
      </c>
      <c r="T86" s="73"/>
      <c r="U86" s="73"/>
      <c r="V86" s="73"/>
      <c r="W86" s="73"/>
      <c r="X86" s="432">
        <f t="shared" si="29"/>
        <v>0</v>
      </c>
      <c r="Y86" s="453"/>
      <c r="Z86" s="454"/>
      <c r="AA86" s="455"/>
      <c r="AB86" s="60">
        <f>IF(B86="",0,IF(D86="",0,IF(SUMIF(B70:B89,B86,H70:H89)=0,0,IF(D86="Obligatoire",AC86/H86,IF(E86="",AC86/SUMIF(B70:B89,B86,H70:H89),AC86/(SUMIF(B70:B89,B86,H70:H89)/E86))))))</f>
        <v>0</v>
      </c>
      <c r="AC86" s="45">
        <f>G86*H86</f>
        <v>0</v>
      </c>
    </row>
    <row r="87" spans="1:29" x14ac:dyDescent="0.25">
      <c r="A87" s="486"/>
      <c r="B87" s="96"/>
      <c r="C87" s="65"/>
      <c r="D87" s="88"/>
      <c r="E87" s="66"/>
      <c r="F87" s="67"/>
      <c r="G87" s="78"/>
      <c r="H87" s="73"/>
      <c r="I87" s="83"/>
      <c r="J87" s="70"/>
      <c r="K87" s="454"/>
      <c r="L87" s="454"/>
      <c r="M87" s="454"/>
      <c r="N87" s="456"/>
      <c r="O87" s="428" t="str">
        <f>IF(OR(I87="",F87=Paramétrage!$C$9,F87=Paramétrage!$C$12,F87=Paramétrage!$C$15,F87=Paramétrage!$C$18,F87=[1]Paramétrage!$C$23,F87=Paramétrage!$C$25,J87="Mut+ext"),"",ROUNDUP(H87/I87,0))</f>
        <v/>
      </c>
      <c r="P87" s="46">
        <f>IF(F87="",0,IF(OR(J87="Mut+ext",VLOOKUP(F87,Paramétrage!$C$6:$E$27,2,0)=0),0,IF(I87="","saisir capacité",G87*O87*VLOOKUP(F87,Paramétrage!$C$6:$E$27,2,0))))</f>
        <v>0</v>
      </c>
      <c r="Q87" s="69"/>
      <c r="R87" s="44">
        <f t="shared" si="28"/>
        <v>0</v>
      </c>
      <c r="S87" s="61">
        <f>IF(F87="",0,IF(ISERROR(Q87+P87*VLOOKUP(F87,Paramétrage!$C$6:$E$27,3,0))=TRUE,R87,Q87+P87*VLOOKUP(F87,Paramétrage!$C$6:$E$27,3,0)))</f>
        <v>0</v>
      </c>
      <c r="T87" s="75"/>
      <c r="U87" s="75"/>
      <c r="V87" s="75"/>
      <c r="W87" s="75"/>
      <c r="X87" s="432">
        <f t="shared" si="29"/>
        <v>0</v>
      </c>
      <c r="Y87" s="453"/>
      <c r="Z87" s="454"/>
      <c r="AA87" s="455"/>
      <c r="AB87" s="60">
        <f>IF(B87="",0,IF(D87="",0,IF(SUMIF(B70:B89,B87,H70:H89)=0,0,IF(D87="Obligatoire",AC87/H87,IF(E87="",AC87/SUMIF(B70:B89,B87,H70:H89),AC87/(SUMIF(B70:B89,B87,H70:H89)/E87))))))</f>
        <v>0</v>
      </c>
      <c r="AC87" s="45">
        <f>G87*H87</f>
        <v>0</v>
      </c>
    </row>
    <row r="88" spans="1:29" x14ac:dyDescent="0.25">
      <c r="A88" s="486"/>
      <c r="B88" s="96"/>
      <c r="C88" s="65"/>
      <c r="D88" s="88"/>
      <c r="E88" s="66"/>
      <c r="F88" s="67"/>
      <c r="G88" s="78"/>
      <c r="H88" s="73"/>
      <c r="I88" s="83"/>
      <c r="J88" s="70"/>
      <c r="K88" s="454"/>
      <c r="L88" s="454"/>
      <c r="M88" s="454"/>
      <c r="N88" s="456"/>
      <c r="O88" s="428" t="str">
        <f>IF(OR(I88="",F88=Paramétrage!$C$9,F88=Paramétrage!$C$12,F88=Paramétrage!$C$15,F88=Paramétrage!$C$18,F88=[1]Paramétrage!$C$23,F88=Paramétrage!$C$25,J88="Mut+ext"),"",ROUNDUP(H88/I88,0))</f>
        <v/>
      </c>
      <c r="P88" s="46">
        <f>IF(F88="",0,IF(OR(J88="Mut+ext",VLOOKUP(F88,Paramétrage!$C$6:$E$27,2,0)=0),0,IF(I88="","saisir capacité",G88*O88*VLOOKUP(F88,Paramétrage!$C$6:$E$27,2,0))))</f>
        <v>0</v>
      </c>
      <c r="Q88" s="69"/>
      <c r="R88" s="44">
        <f t="shared" si="28"/>
        <v>0</v>
      </c>
      <c r="S88" s="61">
        <f>IF(F88="",0,IF(ISERROR(Q88+P88*VLOOKUP(F88,Paramétrage!$C$6:$E$27,3,0))=TRUE,R88,Q88+P88*VLOOKUP(F88,Paramétrage!$C$6:$E$27,3,0)))</f>
        <v>0</v>
      </c>
      <c r="T88" s="74"/>
      <c r="U88" s="74"/>
      <c r="V88" s="74"/>
      <c r="W88" s="74"/>
      <c r="X88" s="432">
        <f t="shared" si="29"/>
        <v>0</v>
      </c>
      <c r="Y88" s="453"/>
      <c r="Z88" s="454"/>
      <c r="AA88" s="455"/>
      <c r="AB88" s="60">
        <f>IF(B88="",0,IF(D88="",0,IF(SUMIF(B70:B89,B88,H70:H89)=0,0,IF(D88="Obligatoire",AC88/H88,IF(E88="",AC88/SUMIF(B70:B89,B88,H70:H89),AC88/(SUMIF(B70:B89,B88,H70:H89)/E88))))))</f>
        <v>0</v>
      </c>
      <c r="AC88" s="45">
        <f>G88*H88</f>
        <v>0</v>
      </c>
    </row>
    <row r="89" spans="1:29" x14ac:dyDescent="0.25">
      <c r="A89" s="486"/>
      <c r="B89" s="96"/>
      <c r="C89" s="65"/>
      <c r="D89" s="88"/>
      <c r="E89" s="66"/>
      <c r="F89" s="67"/>
      <c r="G89" s="78"/>
      <c r="H89" s="73"/>
      <c r="I89" s="83"/>
      <c r="J89" s="70"/>
      <c r="K89" s="454"/>
      <c r="L89" s="454"/>
      <c r="M89" s="454"/>
      <c r="N89" s="456"/>
      <c r="O89" s="428" t="str">
        <f>IF(OR(I89="",F89=Paramétrage!$C$9,F89=Paramétrage!$C$12,F89=Paramétrage!$C$15,F89=Paramétrage!$C$18,F89=[1]Paramétrage!$C$23,F89=Paramétrage!$C$25,J89="Mut+ext"),"",ROUNDUP(H89/I89,0))</f>
        <v/>
      </c>
      <c r="P89" s="46">
        <f>IF(F89="",0,IF(OR(J89="Mut+ext",VLOOKUP(F89,Paramétrage!$C$6:$E$27,2,0)=0),0,IF(I89="","saisir capacité",G89*O89*VLOOKUP(F89,Paramétrage!$C$6:$E$27,2,0))))</f>
        <v>0</v>
      </c>
      <c r="Q89" s="69"/>
      <c r="R89" s="44">
        <f t="shared" si="28"/>
        <v>0</v>
      </c>
      <c r="S89" s="61">
        <f>IF(F89="",0,IF(ISERROR(Q89+P89*VLOOKUP(F89,Paramétrage!$C$6:$E$27,3,0))=TRUE,R89,Q89+P89*VLOOKUP(F89,Paramétrage!$C$6:$E$27,3,0)))</f>
        <v>0</v>
      </c>
      <c r="T89" s="73"/>
      <c r="U89" s="73"/>
      <c r="V89" s="73"/>
      <c r="W89" s="73"/>
      <c r="X89" s="432">
        <f t="shared" si="29"/>
        <v>0</v>
      </c>
      <c r="Y89" s="453"/>
      <c r="Z89" s="454"/>
      <c r="AA89" s="455"/>
      <c r="AB89" s="60">
        <f>IF(B89="",0,IF(D89="",0,IF(SUMIF(B70:B89,B89,H70:H89)=0,0,IF(D89="Obligatoire",AC89/H89,IF(E89="",AC89/SUMIF(B70:B89,B89,H70:H89),AC89/(SUMIF(B70:B89,B89,H70:H89)/E89))))))</f>
        <v>0</v>
      </c>
      <c r="AC89" s="45">
        <f>G89*H89</f>
        <v>0</v>
      </c>
    </row>
    <row r="90" spans="1:29" ht="16.2" thickBot="1" x14ac:dyDescent="0.3">
      <c r="A90" s="485"/>
      <c r="B90" s="98"/>
      <c r="C90" s="49"/>
      <c r="D90" s="49"/>
      <c r="E90" s="50"/>
      <c r="F90" s="47"/>
      <c r="G90" s="85">
        <f>AB90</f>
        <v>0</v>
      </c>
      <c r="H90" s="79">
        <f>SUM(H70:H89)</f>
        <v>0</v>
      </c>
      <c r="I90" s="84"/>
      <c r="J90" s="90"/>
      <c r="K90" s="107"/>
      <c r="L90" s="107"/>
      <c r="M90" s="107"/>
      <c r="N90" s="108"/>
      <c r="O90" s="51"/>
      <c r="P90" s="109">
        <f>SUM(P70:P89)</f>
        <v>0</v>
      </c>
      <c r="Q90" s="47">
        <v>0</v>
      </c>
      <c r="R90" s="52">
        <f t="shared" ref="R90" si="34">P90+Q90</f>
        <v>0</v>
      </c>
      <c r="S90" s="116">
        <f>SUM(S70:S89)</f>
        <v>0</v>
      </c>
      <c r="T90" s="418"/>
      <c r="U90" s="418"/>
      <c r="V90" s="418"/>
      <c r="W90" s="418"/>
      <c r="X90" s="434"/>
      <c r="Y90" s="111"/>
      <c r="Z90" s="112"/>
      <c r="AA90" s="113"/>
      <c r="AB90" s="114">
        <f>SUM(AB70:AB89)</f>
        <v>0</v>
      </c>
      <c r="AC90" s="59">
        <f>SUM(AC70:AC89)</f>
        <v>0</v>
      </c>
    </row>
    <row r="91" spans="1:29" ht="15.6" customHeight="1" x14ac:dyDescent="0.25">
      <c r="A91" s="484" t="s">
        <v>117</v>
      </c>
      <c r="B91" s="95"/>
      <c r="C91" s="99"/>
      <c r="D91" s="87"/>
      <c r="E91" s="63"/>
      <c r="F91" s="64"/>
      <c r="G91" s="77"/>
      <c r="H91" s="72"/>
      <c r="I91" s="100"/>
      <c r="J91" s="89"/>
      <c r="K91" s="458"/>
      <c r="L91" s="458"/>
      <c r="M91" s="458"/>
      <c r="N91" s="471"/>
      <c r="O91" s="428" t="str">
        <f>IF(OR(I91="",F91=Paramétrage!$C$9,F91=Paramétrage!$C$12,F91=Paramétrage!$C$15,F91=Paramétrage!$C$18,F91=[1]Paramétrage!$C$23,F91=Paramétrage!$C$25,J91="Mut+ext"),"",ROUNDUP(H91/I91,0))</f>
        <v/>
      </c>
      <c r="P91" s="101">
        <f>IF(F91="",0,IF(OR(J91="Mut+ext",VLOOKUP(F91,Paramétrage!$C$6:$E$27,2,0)=0),0,IF(I91="","saisir capacité",G91*O91*VLOOKUP(F91,Paramétrage!$C$6:$E$27,2,0))))</f>
        <v>0</v>
      </c>
      <c r="Q91" s="102"/>
      <c r="R91" s="103">
        <f t="shared" ref="R91:R110" si="35">IF(ISERROR(P91+Q91)=TRUE,P91,P91+Q91)</f>
        <v>0</v>
      </c>
      <c r="S91" s="104">
        <f>IF(F91="",0,IF(ISERROR(Q91+P91*VLOOKUP(F91,Paramétrage!$C$6:$E$27,3,0))=TRUE,R91,Q91+P91*VLOOKUP(F91,Paramétrage!$C$6:$E$27,3,0)))</f>
        <v>0</v>
      </c>
      <c r="T91" s="72"/>
      <c r="U91" s="72"/>
      <c r="V91" s="72"/>
      <c r="W91" s="72"/>
      <c r="X91" s="431">
        <f>SUM(T91:W91)</f>
        <v>0</v>
      </c>
      <c r="Y91" s="457"/>
      <c r="Z91" s="458"/>
      <c r="AA91" s="459"/>
      <c r="AB91" s="105">
        <f>IF(B91="",0,IF(D91="",0,IF(SUMIF(B91:B110,B91,H91:H110)=0,0,IF(D91="Obligatoire",AC91/H91,IF(E91="",AC91/SUMIF(B91:B110,B91,H91:H110),AC91/(SUMIF(B91:B110,B91,H91:H110)/E91))))))</f>
        <v>0</v>
      </c>
      <c r="AC91" s="106">
        <f>G91*H91</f>
        <v>0</v>
      </c>
    </row>
    <row r="92" spans="1:29" x14ac:dyDescent="0.25">
      <c r="A92" s="486"/>
      <c r="B92" s="96"/>
      <c r="C92" s="65"/>
      <c r="D92" s="88"/>
      <c r="E92" s="66"/>
      <c r="F92" s="67"/>
      <c r="G92" s="78"/>
      <c r="H92" s="73"/>
      <c r="I92" s="83"/>
      <c r="J92" s="70"/>
      <c r="K92" s="454"/>
      <c r="L92" s="454"/>
      <c r="M92" s="454"/>
      <c r="N92" s="456"/>
      <c r="O92" s="428" t="str">
        <f>IF(OR(I92="",F92=Paramétrage!$C$9,F92=Paramétrage!$C$12,F92=Paramétrage!$C$15,F92=Paramétrage!$C$18,F92=[1]Paramétrage!$C$23,F92=Paramétrage!$C$25,J92="Mut+ext"),"",ROUNDUP(H92/I92,0))</f>
        <v/>
      </c>
      <c r="P92" s="46">
        <f>IF(F92="",0,IF(OR(J92="Mut+ext",VLOOKUP(F92,Paramétrage!$C$6:$E$27,2,0)=0),0,IF(I92="","saisir capacité",G92*O92*VLOOKUP(F92,Paramétrage!$C$6:$E$27,2,0))))</f>
        <v>0</v>
      </c>
      <c r="Q92" s="69"/>
      <c r="R92" s="44">
        <f t="shared" si="35"/>
        <v>0</v>
      </c>
      <c r="S92" s="61">
        <f>IF(F92="",0,IF(ISERROR(Q92+P92*VLOOKUP(F92,Paramétrage!$C$6:$E$27,3,0))=TRUE,R92,Q92+P92*VLOOKUP(F92,Paramétrage!$C$6:$E$27,3,0)))</f>
        <v>0</v>
      </c>
      <c r="T92" s="73"/>
      <c r="U92" s="73"/>
      <c r="V92" s="73"/>
      <c r="W92" s="73"/>
      <c r="X92" s="432">
        <f t="shared" ref="X92:X110" si="36">SUM(T92:W92)</f>
        <v>0</v>
      </c>
      <c r="Y92" s="453"/>
      <c r="Z92" s="454"/>
      <c r="AA92" s="455"/>
      <c r="AB92" s="60">
        <f t="shared" ref="AB92:AB95" si="37">IF(B92="",0,IF(D92="",0,IF(SUMIF(B91:B110,B92,H91:H110)=0,0,IF(D92="Obligatoire",AC92/H92,IF(E92="",AC92/SUMIF(B91:B110,B92,H91:H110),AC92/(SUMIF(B91:B110,B92,H91:H110)/E92))))))</f>
        <v>0</v>
      </c>
      <c r="AC92" s="45">
        <f>G92*H92</f>
        <v>0</v>
      </c>
    </row>
    <row r="93" spans="1:29" x14ac:dyDescent="0.25">
      <c r="A93" s="486"/>
      <c r="B93" s="96"/>
      <c r="C93" s="65"/>
      <c r="D93" s="88"/>
      <c r="E93" s="66"/>
      <c r="F93" s="67"/>
      <c r="G93" s="78"/>
      <c r="H93" s="73"/>
      <c r="I93" s="83"/>
      <c r="J93" s="70"/>
      <c r="K93" s="454"/>
      <c r="L93" s="454"/>
      <c r="M93" s="454"/>
      <c r="N93" s="456"/>
      <c r="O93" s="428" t="str">
        <f>IF(OR(I93="",F93=Paramétrage!$C$9,F93=Paramétrage!$C$12,F93=Paramétrage!$C$15,F93=Paramétrage!$C$18,F93=[1]Paramétrage!$C$23,F93=Paramétrage!$C$25,J93="Mut+ext"),"",ROUNDUP(H93/I93,0))</f>
        <v/>
      </c>
      <c r="P93" s="46">
        <f>IF(F93="",0,IF(OR(J93="Mut+ext",VLOOKUP(F93,Paramétrage!$C$6:$E$27,2,0)=0),0,IF(I93="","saisir capacité",G93*O93*VLOOKUP(F93,Paramétrage!$C$6:$E$27,2,0))))</f>
        <v>0</v>
      </c>
      <c r="Q93" s="69"/>
      <c r="R93" s="44">
        <f t="shared" ref="R93:R104" si="38">IF(ISERROR(P93+Q93)=TRUE,P93,P93+Q93)</f>
        <v>0</v>
      </c>
      <c r="S93" s="61">
        <f>IF(F93="",0,IF(ISERROR(Q93+P93*VLOOKUP(F93,Paramétrage!$C$6:$E$27,3,0))=TRUE,R93,Q93+P93*VLOOKUP(F93,Paramétrage!$C$6:$E$27,3,0)))</f>
        <v>0</v>
      </c>
      <c r="T93" s="73"/>
      <c r="U93" s="73"/>
      <c r="V93" s="73"/>
      <c r="W93" s="73"/>
      <c r="X93" s="432">
        <f t="shared" si="36"/>
        <v>0</v>
      </c>
      <c r="Y93" s="453"/>
      <c r="Z93" s="454"/>
      <c r="AA93" s="455"/>
      <c r="AB93" s="60">
        <f t="shared" si="37"/>
        <v>0</v>
      </c>
      <c r="AC93" s="45">
        <f t="shared" ref="AC93:AC104" si="39">G93*H93</f>
        <v>0</v>
      </c>
    </row>
    <row r="94" spans="1:29" x14ac:dyDescent="0.25">
      <c r="A94" s="486"/>
      <c r="B94" s="96"/>
      <c r="C94" s="65"/>
      <c r="D94" s="88"/>
      <c r="E94" s="66"/>
      <c r="F94" s="67"/>
      <c r="G94" s="78"/>
      <c r="H94" s="73"/>
      <c r="I94" s="83"/>
      <c r="J94" s="70"/>
      <c r="K94" s="454"/>
      <c r="L94" s="454"/>
      <c r="M94" s="454"/>
      <c r="N94" s="456"/>
      <c r="O94" s="428" t="str">
        <f>IF(OR(I94="",F94=Paramétrage!$C$9,F94=Paramétrage!$C$12,F94=Paramétrage!$C$15,F94=Paramétrage!$C$18,F94=[1]Paramétrage!$C$23,F94=Paramétrage!$C$25,J94="Mut+ext"),"",ROUNDUP(H94/I94,0))</f>
        <v/>
      </c>
      <c r="P94" s="46">
        <f>IF(F94="",0,IF(OR(J94="Mut+ext",VLOOKUP(F94,Paramétrage!$C$6:$E$27,2,0)=0),0,IF(I94="","saisir capacité",G94*O94*VLOOKUP(F94,Paramétrage!$C$6:$E$27,2,0))))</f>
        <v>0</v>
      </c>
      <c r="Q94" s="69"/>
      <c r="R94" s="44">
        <f t="shared" si="38"/>
        <v>0</v>
      </c>
      <c r="S94" s="61">
        <f>IF(F94="",0,IF(ISERROR(Q94+P94*VLOOKUP(F94,Paramétrage!$C$6:$E$27,3,0))=TRUE,R94,Q94+P94*VLOOKUP(F94,Paramétrage!$C$6:$E$27,3,0)))</f>
        <v>0</v>
      </c>
      <c r="T94" s="73"/>
      <c r="U94" s="73"/>
      <c r="V94" s="73"/>
      <c r="W94" s="73"/>
      <c r="X94" s="432">
        <f t="shared" si="36"/>
        <v>0</v>
      </c>
      <c r="Y94" s="453"/>
      <c r="Z94" s="454"/>
      <c r="AA94" s="455"/>
      <c r="AB94" s="60">
        <f t="shared" si="37"/>
        <v>0</v>
      </c>
      <c r="AC94" s="45">
        <f t="shared" si="39"/>
        <v>0</v>
      </c>
    </row>
    <row r="95" spans="1:29" x14ac:dyDescent="0.25">
      <c r="A95" s="486"/>
      <c r="B95" s="96"/>
      <c r="C95" s="65"/>
      <c r="D95" s="88"/>
      <c r="E95" s="66"/>
      <c r="F95" s="67"/>
      <c r="G95" s="78"/>
      <c r="H95" s="73"/>
      <c r="I95" s="83"/>
      <c r="J95" s="70"/>
      <c r="K95" s="454"/>
      <c r="L95" s="454"/>
      <c r="M95" s="454"/>
      <c r="N95" s="456"/>
      <c r="O95" s="428" t="str">
        <f>IF(OR(I95="",F95=Paramétrage!$C$9,F95=Paramétrage!$C$12,F95=Paramétrage!$C$15,F95=Paramétrage!$C$18,F95=[1]Paramétrage!$C$23,F95=Paramétrage!$C$25,J95="Mut+ext"),"",ROUNDUP(H95/I95,0))</f>
        <v/>
      </c>
      <c r="P95" s="46">
        <f>IF(F95="",0,IF(OR(J95="Mut+ext",VLOOKUP(F95,Paramétrage!$C$6:$E$27,2,0)=0),0,IF(I95="","saisir capacité",G95*O95*VLOOKUP(F95,Paramétrage!$C$6:$E$27,2,0))))</f>
        <v>0</v>
      </c>
      <c r="Q95" s="69"/>
      <c r="R95" s="44">
        <f t="shared" si="38"/>
        <v>0</v>
      </c>
      <c r="S95" s="61">
        <f>IF(F95="",0,IF(ISERROR(Q95+P95*VLOOKUP(F95,Paramétrage!$C$6:$E$27,3,0))=TRUE,R95,Q95+P95*VLOOKUP(F95,Paramétrage!$C$6:$E$27,3,0)))</f>
        <v>0</v>
      </c>
      <c r="T95" s="73"/>
      <c r="U95" s="73"/>
      <c r="V95" s="73"/>
      <c r="W95" s="73"/>
      <c r="X95" s="432">
        <f t="shared" si="36"/>
        <v>0</v>
      </c>
      <c r="Y95" s="453"/>
      <c r="Z95" s="454"/>
      <c r="AA95" s="455"/>
      <c r="AB95" s="60">
        <f t="shared" si="37"/>
        <v>0</v>
      </c>
      <c r="AC95" s="45">
        <f t="shared" si="39"/>
        <v>0</v>
      </c>
    </row>
    <row r="96" spans="1:29" x14ac:dyDescent="0.25">
      <c r="A96" s="486"/>
      <c r="B96" s="96"/>
      <c r="C96" s="65"/>
      <c r="D96" s="88"/>
      <c r="E96" s="66"/>
      <c r="F96" s="67"/>
      <c r="G96" s="78"/>
      <c r="H96" s="73"/>
      <c r="I96" s="83"/>
      <c r="J96" s="70"/>
      <c r="K96" s="454"/>
      <c r="L96" s="454"/>
      <c r="M96" s="454"/>
      <c r="N96" s="456"/>
      <c r="O96" s="428" t="str">
        <f>IF(OR(I96="",F96=Paramétrage!$C$9,F96=Paramétrage!$C$12,F96=Paramétrage!$C$15,F96=Paramétrage!$C$18,F96=[1]Paramétrage!$C$23,F96=Paramétrage!$C$25,J96="Mut+ext"),"",ROUNDUP(H96/I96,0))</f>
        <v/>
      </c>
      <c r="P96" s="46">
        <f>IF(F96="",0,IF(OR(J96="Mut+ext",VLOOKUP(F96,Paramétrage!$C$6:$E$27,2,0)=0),0,IF(I96="","saisir capacité",G96*O96*VLOOKUP(F96,Paramétrage!$C$6:$E$27,2,0))))</f>
        <v>0</v>
      </c>
      <c r="Q96" s="69"/>
      <c r="R96" s="44">
        <f t="shared" si="38"/>
        <v>0</v>
      </c>
      <c r="S96" s="61">
        <f>IF(F96="",0,IF(ISERROR(Q96+P96*VLOOKUP(F96,Paramétrage!$C$6:$E$27,3,0))=TRUE,R96,Q96+P96*VLOOKUP(F96,Paramétrage!$C$6:$E$27,3,0)))</f>
        <v>0</v>
      </c>
      <c r="T96" s="73"/>
      <c r="U96" s="73"/>
      <c r="V96" s="73"/>
      <c r="W96" s="73"/>
      <c r="X96" s="432">
        <f t="shared" si="36"/>
        <v>0</v>
      </c>
      <c r="Y96" s="453"/>
      <c r="Z96" s="454"/>
      <c r="AA96" s="455"/>
      <c r="AB96" s="60">
        <f>IF(B96="",0,IF(D96="",0,IF(SUMIF(B95:B129,B96,H95:H129)=0,0,IF(D96="Obligatoire",AC96/H96,IF(E96="",AC96/SUMIF(B95:B129,B96,H95:H129),AC96/(SUMIF(B95:B129,B96,H95:H129)/E96))))))</f>
        <v>0</v>
      </c>
      <c r="AC96" s="45">
        <f t="shared" si="39"/>
        <v>0</v>
      </c>
    </row>
    <row r="97" spans="1:29" x14ac:dyDescent="0.25">
      <c r="A97" s="486"/>
      <c r="B97" s="96"/>
      <c r="C97" s="65"/>
      <c r="D97" s="88"/>
      <c r="E97" s="66"/>
      <c r="F97" s="67"/>
      <c r="G97" s="78"/>
      <c r="H97" s="73"/>
      <c r="I97" s="83"/>
      <c r="J97" s="70"/>
      <c r="K97" s="454"/>
      <c r="L97" s="454"/>
      <c r="M97" s="454"/>
      <c r="N97" s="456"/>
      <c r="O97" s="428" t="str">
        <f>IF(OR(I97="",F97=Paramétrage!$C$9,F97=Paramétrage!$C$12,F97=Paramétrage!$C$15,F97=Paramétrage!$C$18,F97=[1]Paramétrage!$C$23,F97=Paramétrage!$C$25,J97="Mut+ext"),"",ROUNDUP(H97/I97,0))</f>
        <v/>
      </c>
      <c r="P97" s="46">
        <f>IF(F97="",0,IF(OR(J97="Mut+ext",VLOOKUP(F97,Paramétrage!$C$6:$E$27,2,0)=0),0,IF(I97="","saisir capacité",G97*O97*VLOOKUP(F97,Paramétrage!$C$6:$E$27,2,0))))</f>
        <v>0</v>
      </c>
      <c r="Q97" s="69"/>
      <c r="R97" s="44">
        <f t="shared" si="38"/>
        <v>0</v>
      </c>
      <c r="S97" s="61">
        <f>IF(F97="",0,IF(ISERROR(Q97+P97*VLOOKUP(F97,Paramétrage!$C$6:$E$27,3,0))=TRUE,R97,Q97+P97*VLOOKUP(F97,Paramétrage!$C$6:$E$27,3,0)))</f>
        <v>0</v>
      </c>
      <c r="T97" s="73"/>
      <c r="U97" s="73"/>
      <c r="V97" s="73"/>
      <c r="W97" s="73"/>
      <c r="X97" s="432">
        <f t="shared" si="36"/>
        <v>0</v>
      </c>
      <c r="Y97" s="453"/>
      <c r="Z97" s="454"/>
      <c r="AA97" s="455"/>
      <c r="AB97" s="60">
        <f>IF(B97="",0,IF(D97="",0,IF(SUMIF(B96:B130,B97,H96:H130)=0,0,IF(D97="Obligatoire",AC97/H97,IF(E97="",AC97/SUMIF(B96:B130,B97,H96:H130),AC97/(SUMIF(B96:B130,B97,H96:H130)/E97))))))</f>
        <v>0</v>
      </c>
      <c r="AC97" s="45">
        <f t="shared" si="39"/>
        <v>0</v>
      </c>
    </row>
    <row r="98" spans="1:29" x14ac:dyDescent="0.25">
      <c r="A98" s="486"/>
      <c r="B98" s="96"/>
      <c r="C98" s="65"/>
      <c r="D98" s="88"/>
      <c r="E98" s="66"/>
      <c r="F98" s="67"/>
      <c r="G98" s="78"/>
      <c r="H98" s="73"/>
      <c r="I98" s="83"/>
      <c r="J98" s="70"/>
      <c r="K98" s="454"/>
      <c r="L98" s="454"/>
      <c r="M98" s="454"/>
      <c r="N98" s="456"/>
      <c r="O98" s="428" t="str">
        <f>IF(OR(I98="",F98=Paramétrage!$C$9,F98=Paramétrage!$C$12,F98=Paramétrage!$C$15,F98=Paramétrage!$C$18,F98=[1]Paramétrage!$C$23,F98=Paramétrage!$C$25,J98="Mut+ext"),"",ROUNDUP(H98/I98,0))</f>
        <v/>
      </c>
      <c r="P98" s="46">
        <f>IF(F98="",0,IF(OR(J98="Mut+ext",VLOOKUP(F98,Paramétrage!$C$6:$E$27,2,0)=0),0,IF(I98="","saisir capacité",G98*O98*VLOOKUP(F98,Paramétrage!$C$6:$E$27,2,0))))</f>
        <v>0</v>
      </c>
      <c r="Q98" s="69"/>
      <c r="R98" s="44">
        <f t="shared" si="38"/>
        <v>0</v>
      </c>
      <c r="S98" s="61">
        <f>IF(F98="",0,IF(ISERROR(Q98+P98*VLOOKUP(F98,Paramétrage!$C$6:$E$27,3,0))=TRUE,R98,Q98+P98*VLOOKUP(F98,Paramétrage!$C$6:$E$27,3,0)))</f>
        <v>0</v>
      </c>
      <c r="T98" s="73"/>
      <c r="U98" s="73"/>
      <c r="V98" s="73"/>
      <c r="W98" s="73"/>
      <c r="X98" s="432">
        <f t="shared" si="36"/>
        <v>0</v>
      </c>
      <c r="Y98" s="453"/>
      <c r="Z98" s="454"/>
      <c r="AA98" s="455"/>
      <c r="AB98" s="60">
        <f>IF(B98="",0,IF(D98="",0,IF(SUMIF(B97:B131,B98,H97:H131)=0,0,IF(D98="Obligatoire",AC98/H98,IF(E98="",AC98/SUMIF(B97:B131,B98,H97:H131),AC98/(SUMIF(B97:B131,B98,H97:H131)/E98))))))</f>
        <v>0</v>
      </c>
      <c r="AC98" s="45">
        <f t="shared" si="39"/>
        <v>0</v>
      </c>
    </row>
    <row r="99" spans="1:29" x14ac:dyDescent="0.25">
      <c r="A99" s="486"/>
      <c r="B99" s="96"/>
      <c r="C99" s="65"/>
      <c r="D99" s="88"/>
      <c r="E99" s="66"/>
      <c r="F99" s="67"/>
      <c r="G99" s="78"/>
      <c r="H99" s="73"/>
      <c r="I99" s="83"/>
      <c r="J99" s="70"/>
      <c r="K99" s="454"/>
      <c r="L99" s="454"/>
      <c r="M99" s="454"/>
      <c r="N99" s="456"/>
      <c r="O99" s="428" t="str">
        <f>IF(OR(I99="",F99=Paramétrage!$C$9,F99=Paramétrage!$C$12,F99=Paramétrage!$C$15,F99=Paramétrage!$C$18,F99=[1]Paramétrage!$C$23,F99=Paramétrage!$C$25,J99="Mut+ext"),"",ROUNDUP(H99/I99,0))</f>
        <v/>
      </c>
      <c r="P99" s="46">
        <f>IF(F99="",0,IF(OR(J99="Mut+ext",VLOOKUP(F99,Paramétrage!$C$6:$E$27,2,0)=0),0,IF(I99="","saisir capacité",G99*O99*VLOOKUP(F99,Paramétrage!$C$6:$E$27,2,0))))</f>
        <v>0</v>
      </c>
      <c r="Q99" s="69"/>
      <c r="R99" s="44">
        <f t="shared" si="38"/>
        <v>0</v>
      </c>
      <c r="S99" s="61">
        <f>IF(F99="",0,IF(ISERROR(Q99+P99*VLOOKUP(F99,Paramétrage!$C$6:$E$27,3,0))=TRUE,R99,Q99+P99*VLOOKUP(F99,Paramétrage!$C$6:$E$27,3,0)))</f>
        <v>0</v>
      </c>
      <c r="T99" s="73"/>
      <c r="U99" s="73"/>
      <c r="V99" s="73"/>
      <c r="W99" s="73"/>
      <c r="X99" s="432">
        <f t="shared" si="36"/>
        <v>0</v>
      </c>
      <c r="Y99" s="453"/>
      <c r="Z99" s="454"/>
      <c r="AA99" s="455"/>
      <c r="AB99" s="60">
        <f>IF(B99="",0,IF(D99="",0,IF(SUMIF(B98:B132,B99,H98:H132)=0,0,IF(D99="Obligatoire",AC99/H99,IF(E99="",AC99/SUMIF(B98:B132,B99,H98:H132),AC99/(SUMIF(B98:B132,B99,H98:H132)/E99))))))</f>
        <v>0</v>
      </c>
      <c r="AC99" s="45">
        <f t="shared" si="39"/>
        <v>0</v>
      </c>
    </row>
    <row r="100" spans="1:29" x14ac:dyDescent="0.25">
      <c r="A100" s="486"/>
      <c r="B100" s="96"/>
      <c r="C100" s="65"/>
      <c r="D100" s="88"/>
      <c r="E100" s="66"/>
      <c r="F100" s="67"/>
      <c r="G100" s="78"/>
      <c r="H100" s="73"/>
      <c r="I100" s="83"/>
      <c r="J100" s="70"/>
      <c r="K100" s="454"/>
      <c r="L100" s="454"/>
      <c r="M100" s="454"/>
      <c r="N100" s="456"/>
      <c r="O100" s="428" t="str">
        <f>IF(OR(I100="",F100=Paramétrage!$C$9,F100=Paramétrage!$C$12,F100=Paramétrage!$C$15,F100=Paramétrage!$C$18,F100=[1]Paramétrage!$C$23,F100=Paramétrage!$C$25,J100="Mut+ext"),"",ROUNDUP(H100/I100,0))</f>
        <v/>
      </c>
      <c r="P100" s="46">
        <f>IF(F100="",0,IF(OR(J100="Mut+ext",VLOOKUP(F100,Paramétrage!$C$6:$E$27,2,0)=0),0,IF(I100="","saisir capacité",G100*O100*VLOOKUP(F100,Paramétrage!$C$6:$E$27,2,0))))</f>
        <v>0</v>
      </c>
      <c r="Q100" s="69"/>
      <c r="R100" s="44">
        <f t="shared" si="38"/>
        <v>0</v>
      </c>
      <c r="S100" s="61">
        <f>IF(F100="",0,IF(ISERROR(Q100+P100*VLOOKUP(F100,Paramétrage!$C$6:$E$27,3,0))=TRUE,R100,Q100+P100*VLOOKUP(F100,Paramétrage!$C$6:$E$27,3,0)))</f>
        <v>0</v>
      </c>
      <c r="T100" s="73"/>
      <c r="U100" s="73"/>
      <c r="V100" s="73"/>
      <c r="W100" s="73"/>
      <c r="X100" s="432">
        <f t="shared" si="36"/>
        <v>0</v>
      </c>
      <c r="Y100" s="453"/>
      <c r="Z100" s="454"/>
      <c r="AA100" s="455"/>
      <c r="AB100" s="60">
        <f>IF(B100="",0,IF(D100="",0,IF(SUMIF(B99:B132,B100,H99:H132)=0,0,IF(D100="Obligatoire",AC100/H100,IF(E100="",AC100/SUMIF(B99:B132,B100,H99:H132),AC100/(SUMIF(B99:B132,B100,H99:H132)/E100))))))</f>
        <v>0</v>
      </c>
      <c r="AC100" s="45">
        <f t="shared" si="39"/>
        <v>0</v>
      </c>
    </row>
    <row r="101" spans="1:29" x14ac:dyDescent="0.25">
      <c r="A101" s="486"/>
      <c r="B101" s="96"/>
      <c r="C101" s="65"/>
      <c r="D101" s="88"/>
      <c r="E101" s="66"/>
      <c r="F101" s="67"/>
      <c r="G101" s="78"/>
      <c r="H101" s="73"/>
      <c r="I101" s="83"/>
      <c r="J101" s="70"/>
      <c r="K101" s="454"/>
      <c r="L101" s="454"/>
      <c r="M101" s="454"/>
      <c r="N101" s="456"/>
      <c r="O101" s="428" t="str">
        <f>IF(OR(I101="",F101=Paramétrage!$C$9,F101=Paramétrage!$C$12,F101=Paramétrage!$C$15,F101=Paramétrage!$C$18,F101=[1]Paramétrage!$C$23,F101=Paramétrage!$C$25,J101="Mut+ext"),"",ROUNDUP(H101/I101,0))</f>
        <v/>
      </c>
      <c r="P101" s="46">
        <f>IF(F101="",0,IF(OR(J101="Mut+ext",VLOOKUP(F101,Paramétrage!$C$6:$E$27,2,0)=0),0,IF(I101="","saisir capacité",G101*O101*VLOOKUP(F101,Paramétrage!$C$6:$E$27,2,0))))</f>
        <v>0</v>
      </c>
      <c r="Q101" s="69"/>
      <c r="R101" s="44">
        <f t="shared" si="38"/>
        <v>0</v>
      </c>
      <c r="S101" s="61">
        <f>IF(F101="",0,IF(ISERROR(Q101+P101*VLOOKUP(F101,Paramétrage!$C$6:$E$27,3,0))=TRUE,R101,Q101+P101*VLOOKUP(F101,Paramétrage!$C$6:$E$27,3,0)))</f>
        <v>0</v>
      </c>
      <c r="T101" s="73"/>
      <c r="U101" s="73"/>
      <c r="V101" s="73"/>
      <c r="W101" s="73"/>
      <c r="X101" s="432">
        <f t="shared" si="36"/>
        <v>0</v>
      </c>
      <c r="Y101" s="453"/>
      <c r="Z101" s="454"/>
      <c r="AA101" s="455"/>
      <c r="AB101" s="60">
        <f>IF(B101="",0,IF(D101="",0,IF(SUMIF(B100:B132,B101,H100:H132)=0,0,IF(D101="Obligatoire",AC101/H101,IF(E101="",AC101/SUMIF(B100:B132,B101,H100:H132),AC101/(SUMIF(B100:B132,B101,H100:H132)/E101))))))</f>
        <v>0</v>
      </c>
      <c r="AC101" s="45">
        <f t="shared" si="39"/>
        <v>0</v>
      </c>
    </row>
    <row r="102" spans="1:29" x14ac:dyDescent="0.25">
      <c r="A102" s="486"/>
      <c r="B102" s="96"/>
      <c r="C102" s="65"/>
      <c r="D102" s="88"/>
      <c r="E102" s="66"/>
      <c r="F102" s="67"/>
      <c r="G102" s="78"/>
      <c r="H102" s="73"/>
      <c r="I102" s="83"/>
      <c r="J102" s="70"/>
      <c r="K102" s="454"/>
      <c r="L102" s="454"/>
      <c r="M102" s="454"/>
      <c r="N102" s="456"/>
      <c r="O102" s="428" t="str">
        <f>IF(OR(I102="",F102=Paramétrage!$C$9,F102=Paramétrage!$C$12,F102=Paramétrage!$C$15,F102=Paramétrage!$C$18,F102=[1]Paramétrage!$C$23,F102=Paramétrage!$C$25,J102="Mut+ext"),"",ROUNDUP(H102/I102,0))</f>
        <v/>
      </c>
      <c r="P102" s="46">
        <f>IF(F102="",0,IF(OR(J102="Mut+ext",VLOOKUP(F102,Paramétrage!$C$6:$E$27,2,0)=0),0,IF(I102="","saisir capacité",G102*O102*VLOOKUP(F102,Paramétrage!$C$6:$E$27,2,0))))</f>
        <v>0</v>
      </c>
      <c r="Q102" s="69"/>
      <c r="R102" s="44">
        <f t="shared" si="38"/>
        <v>0</v>
      </c>
      <c r="S102" s="61">
        <f>IF(F102="",0,IF(ISERROR(Q102+P102*VLOOKUP(F102,Paramétrage!$C$6:$E$27,3,0))=TRUE,R102,Q102+P102*VLOOKUP(F102,Paramétrage!$C$6:$E$27,3,0)))</f>
        <v>0</v>
      </c>
      <c r="T102" s="73"/>
      <c r="U102" s="73"/>
      <c r="V102" s="73"/>
      <c r="W102" s="73"/>
      <c r="X102" s="432">
        <f t="shared" si="36"/>
        <v>0</v>
      </c>
      <c r="Y102" s="453"/>
      <c r="Z102" s="454"/>
      <c r="AA102" s="455"/>
      <c r="AB102" s="60">
        <f>IF(B102="",0,IF(D102="",0,IF(SUMIF(B102:B132,B102,H102:H132)=0,0,IF(D102="Obligatoire",AC102/H102,IF(E102="",AC102/SUMIF(B102:B132,B102,H102:H132),AC102/(SUMIF(B102:B132,B102,H102:H132)/E102))))))</f>
        <v>0</v>
      </c>
      <c r="AC102" s="45">
        <f t="shared" si="39"/>
        <v>0</v>
      </c>
    </row>
    <row r="103" spans="1:29" x14ac:dyDescent="0.25">
      <c r="A103" s="486"/>
      <c r="B103" s="96"/>
      <c r="C103" s="65"/>
      <c r="D103" s="88"/>
      <c r="E103" s="66"/>
      <c r="F103" s="67"/>
      <c r="G103" s="78"/>
      <c r="H103" s="73"/>
      <c r="I103" s="83"/>
      <c r="J103" s="70"/>
      <c r="K103" s="454"/>
      <c r="L103" s="454"/>
      <c r="M103" s="454"/>
      <c r="N103" s="456"/>
      <c r="O103" s="428" t="str">
        <f>IF(OR(I103="",F103=Paramétrage!$C$9,F103=Paramétrage!$C$12,F103=Paramétrage!$C$15,F103=Paramétrage!$C$18,F103=[1]Paramétrage!$C$23,F103=Paramétrage!$C$25,J103="Mut+ext"),"",ROUNDUP(H103/I103,0))</f>
        <v/>
      </c>
      <c r="P103" s="46">
        <f>IF(F103="",0,IF(OR(J103="Mut+ext",VLOOKUP(F103,Paramétrage!$C$6:$E$27,2,0)=0),0,IF(I103="","saisir capacité",G103*O103*VLOOKUP(F103,Paramétrage!$C$6:$E$27,2,0))))</f>
        <v>0</v>
      </c>
      <c r="Q103" s="69"/>
      <c r="R103" s="44">
        <f t="shared" si="38"/>
        <v>0</v>
      </c>
      <c r="S103" s="61">
        <f>IF(F103="",0,IF(ISERROR(Q103+P103*VLOOKUP(F103,Paramétrage!$C$6:$E$27,3,0))=TRUE,R103,Q103+P103*VLOOKUP(F103,Paramétrage!$C$6:$E$27,3,0)))</f>
        <v>0</v>
      </c>
      <c r="T103" s="73"/>
      <c r="U103" s="73"/>
      <c r="V103" s="73"/>
      <c r="W103" s="73"/>
      <c r="X103" s="432">
        <f t="shared" si="36"/>
        <v>0</v>
      </c>
      <c r="Y103" s="453"/>
      <c r="Z103" s="454"/>
      <c r="AA103" s="455"/>
      <c r="AB103" s="60">
        <f>IF(B103="",0,IF(D103="",0,IF(SUMIF(B102:B132,B103,H102:H132)=0,0,IF(D103="Obligatoire",AC103/H103,IF(E103="",AC103/SUMIF(B102:B132,B103,H102:H132),AC103/(SUMIF(B102:B132,B103,H102:H132)/E103))))))</f>
        <v>0</v>
      </c>
      <c r="AC103" s="45">
        <f t="shared" si="39"/>
        <v>0</v>
      </c>
    </row>
    <row r="104" spans="1:29" x14ac:dyDescent="0.25">
      <c r="A104" s="486"/>
      <c r="B104" s="96"/>
      <c r="C104" s="65"/>
      <c r="D104" s="88"/>
      <c r="E104" s="66"/>
      <c r="F104" s="67"/>
      <c r="G104" s="78"/>
      <c r="H104" s="73"/>
      <c r="I104" s="83"/>
      <c r="J104" s="70"/>
      <c r="K104" s="454"/>
      <c r="L104" s="454"/>
      <c r="M104" s="454"/>
      <c r="N104" s="456"/>
      <c r="O104" s="428" t="str">
        <f>IF(OR(I104="",F104=Paramétrage!$C$9,F104=Paramétrage!$C$12,F104=Paramétrage!$C$15,F104=Paramétrage!$C$18,F104=[1]Paramétrage!$C$23,F104=Paramétrage!$C$25,J104="Mut+ext"),"",ROUNDUP(H104/I104,0))</f>
        <v/>
      </c>
      <c r="P104" s="46">
        <f>IF(F104="",0,IF(OR(J104="Mut+ext",VLOOKUP(F104,Paramétrage!$C$6:$E$27,2,0)=0),0,IF(I104="","saisir capacité",G104*O104*VLOOKUP(F104,Paramétrage!$C$6:$E$27,2,0))))</f>
        <v>0</v>
      </c>
      <c r="Q104" s="69"/>
      <c r="R104" s="44">
        <f t="shared" si="38"/>
        <v>0</v>
      </c>
      <c r="S104" s="61">
        <f>IF(F104="",0,IF(ISERROR(Q104+P104*VLOOKUP(F104,Paramétrage!$C$6:$E$27,3,0))=TRUE,R104,Q104+P104*VLOOKUP(F104,Paramétrage!$C$6:$E$27,3,0)))</f>
        <v>0</v>
      </c>
      <c r="T104" s="73"/>
      <c r="U104" s="73"/>
      <c r="V104" s="73"/>
      <c r="W104" s="73"/>
      <c r="X104" s="432">
        <f t="shared" si="36"/>
        <v>0</v>
      </c>
      <c r="Y104" s="453"/>
      <c r="Z104" s="454"/>
      <c r="AA104" s="455"/>
      <c r="AB104" s="60">
        <f>IF(B104="",0,IF(D104="",0,IF(SUMIF(B103:B132,B104,H103:H132)=0,0,IF(D104="Obligatoire",AC104/H104,IF(E104="",AC104/SUMIF(B103:B132,B104,H103:H132),AC104/(SUMIF(B103:B132,B104,H103:H132)/E104))))))</f>
        <v>0</v>
      </c>
      <c r="AC104" s="45">
        <f t="shared" si="39"/>
        <v>0</v>
      </c>
    </row>
    <row r="105" spans="1:29" x14ac:dyDescent="0.25">
      <c r="A105" s="486"/>
      <c r="B105" s="96"/>
      <c r="C105" s="65"/>
      <c r="D105" s="88"/>
      <c r="E105" s="66"/>
      <c r="F105" s="67"/>
      <c r="G105" s="78"/>
      <c r="H105" s="73"/>
      <c r="I105" s="83"/>
      <c r="J105" s="70"/>
      <c r="K105" s="454"/>
      <c r="L105" s="454"/>
      <c r="M105" s="454"/>
      <c r="N105" s="456"/>
      <c r="O105" s="428" t="str">
        <f>IF(OR(I105="",F105=Paramétrage!$C$9,F105=Paramétrage!$C$12,F105=Paramétrage!$C$15,F105=Paramétrage!$C$18,F105=[1]Paramétrage!$C$23,F105=Paramétrage!$C$25,J105="Mut+ext"),"",ROUNDUP(H105/I105,0))</f>
        <v/>
      </c>
      <c r="P105" s="46">
        <f>IF(F105="",0,IF(OR(J105="Mut+ext",VLOOKUP(F105,Paramétrage!$C$6:$E$27,2,0)=0),0,IF(I105="","saisir capacité",G105*O105*VLOOKUP(F105,Paramétrage!$C$6:$E$27,2,0))))</f>
        <v>0</v>
      </c>
      <c r="Q105" s="69"/>
      <c r="R105" s="44">
        <f t="shared" si="35"/>
        <v>0</v>
      </c>
      <c r="S105" s="61">
        <f>IF(F105="",0,IF(ISERROR(Q105+P105*VLOOKUP(F105,Paramétrage!$C$6:$E$27,3,0))=TRUE,R105,Q105+P105*VLOOKUP(F105,Paramétrage!$C$6:$E$27,3,0)))</f>
        <v>0</v>
      </c>
      <c r="T105" s="73"/>
      <c r="U105" s="73"/>
      <c r="V105" s="73"/>
      <c r="W105" s="73"/>
      <c r="X105" s="432">
        <f t="shared" si="36"/>
        <v>0</v>
      </c>
      <c r="Y105" s="453"/>
      <c r="Z105" s="454"/>
      <c r="AA105" s="455"/>
      <c r="AB105" s="60">
        <f>IF(B105="",0,IF(D105="",0,IF(SUMIF(B91:B110,B105,H91:H110)=0,0,IF(D105="Obligatoire",AC105/H105,IF(E105="",AC105/SUMIF(B91:B110,B105,H91:H110),AC105/(SUMIF(B91:B110,B105,H91:H110)/E105))))))</f>
        <v>0</v>
      </c>
      <c r="AC105" s="45">
        <f t="shared" ref="AC105:AC110" si="40">G105*H105</f>
        <v>0</v>
      </c>
    </row>
    <row r="106" spans="1:29" x14ac:dyDescent="0.25">
      <c r="A106" s="486"/>
      <c r="B106" s="97"/>
      <c r="C106" s="65"/>
      <c r="D106" s="88"/>
      <c r="E106" s="66"/>
      <c r="F106" s="67"/>
      <c r="G106" s="78"/>
      <c r="H106" s="73"/>
      <c r="I106" s="83"/>
      <c r="J106" s="70"/>
      <c r="K106" s="454"/>
      <c r="L106" s="454"/>
      <c r="M106" s="454"/>
      <c r="N106" s="456"/>
      <c r="O106" s="428" t="str">
        <f>IF(OR(I106="",F106=Paramétrage!$C$9,F106=Paramétrage!$C$12,F106=Paramétrage!$C$15,F106=Paramétrage!$C$18,F106=[1]Paramétrage!$C$23,F106=Paramétrage!$C$25,J106="Mut+ext"),"",ROUNDUP(H106/I106,0))</f>
        <v/>
      </c>
      <c r="P106" s="46">
        <f>IF(F106="",0,IF(OR(J106="Mut+ext",VLOOKUP(F106,Paramétrage!$C$6:$E$27,2,0)=0),0,IF(I106="","saisir capacité",G106*O106*VLOOKUP(F106,Paramétrage!$C$6:$E$27,2,0))))</f>
        <v>0</v>
      </c>
      <c r="Q106" s="69"/>
      <c r="R106" s="44">
        <f t="shared" si="35"/>
        <v>0</v>
      </c>
      <c r="S106" s="61">
        <f>IF(F106="",0,IF(ISERROR(Q106+P106*VLOOKUP(F106,Paramétrage!$C$6:$E$27,3,0))=TRUE,R106,Q106+P106*VLOOKUP(F106,Paramétrage!$C$6:$E$27,3,0)))</f>
        <v>0</v>
      </c>
      <c r="T106" s="73"/>
      <c r="U106" s="73"/>
      <c r="V106" s="73"/>
      <c r="W106" s="73"/>
      <c r="X106" s="432">
        <f t="shared" si="36"/>
        <v>0</v>
      </c>
      <c r="Y106" s="453"/>
      <c r="Z106" s="454"/>
      <c r="AA106" s="455"/>
      <c r="AB106" s="60">
        <f>IF(B106="",0,IF(D106="",0,IF(SUMIF(B91:B110,B106,H91:H110)=0,0,IF(D106="Obligatoire",AC106/H106,IF(E106="",AC106/SUMIF(B91:B110,B106,H91:H110),AC106/(SUMIF(B91:B110,B106,H91:H110)/E106))))))</f>
        <v>0</v>
      </c>
      <c r="AC106" s="45">
        <f t="shared" si="40"/>
        <v>0</v>
      </c>
    </row>
    <row r="107" spans="1:29" x14ac:dyDescent="0.25">
      <c r="A107" s="486"/>
      <c r="B107" s="96"/>
      <c r="C107" s="65"/>
      <c r="D107" s="88"/>
      <c r="E107" s="66"/>
      <c r="F107" s="67"/>
      <c r="G107" s="78"/>
      <c r="H107" s="73"/>
      <c r="I107" s="83"/>
      <c r="J107" s="70"/>
      <c r="K107" s="454"/>
      <c r="L107" s="454"/>
      <c r="M107" s="454"/>
      <c r="N107" s="456"/>
      <c r="O107" s="428" t="str">
        <f>IF(OR(I107="",F107=Paramétrage!$C$9,F107=Paramétrage!$C$12,F107=Paramétrage!$C$15,F107=Paramétrage!$C$18,F107=[1]Paramétrage!$C$23,F107=Paramétrage!$C$25,J107="Mut+ext"),"",ROUNDUP(H107/I107,0))</f>
        <v/>
      </c>
      <c r="P107" s="46">
        <f>IF(F107="",0,IF(OR(J107="Mut+ext",VLOOKUP(F107,Paramétrage!$C$6:$E$27,2,0)=0),0,IF(I107="","saisir capacité",G107*O107*VLOOKUP(F107,Paramétrage!$C$6:$E$27,2,0))))</f>
        <v>0</v>
      </c>
      <c r="Q107" s="69"/>
      <c r="R107" s="44">
        <f t="shared" si="35"/>
        <v>0</v>
      </c>
      <c r="S107" s="61">
        <f>IF(F107="",0,IF(ISERROR(Q107+P107*VLOOKUP(F107,Paramétrage!$C$6:$E$27,3,0))=TRUE,R107,Q107+P107*VLOOKUP(F107,Paramétrage!$C$6:$E$27,3,0)))</f>
        <v>0</v>
      </c>
      <c r="T107" s="73"/>
      <c r="U107" s="73"/>
      <c r="V107" s="73"/>
      <c r="W107" s="73"/>
      <c r="X107" s="432">
        <f t="shared" si="36"/>
        <v>0</v>
      </c>
      <c r="Y107" s="453"/>
      <c r="Z107" s="454"/>
      <c r="AA107" s="455"/>
      <c r="AB107" s="60">
        <f>IF(B107="",0,IF(D107="",0,IF(SUMIF(B91:B110,B107,H91:H110)=0,0,IF(D107="Obligatoire",AC107/H107,IF(E107="",AC107/SUMIF(B91:B110,B107,H91:H110),AC107/(SUMIF(B91:B110,B107,H91:H110)/E107))))))</f>
        <v>0</v>
      </c>
      <c r="AC107" s="45">
        <f t="shared" si="40"/>
        <v>0</v>
      </c>
    </row>
    <row r="108" spans="1:29" x14ac:dyDescent="0.25">
      <c r="A108" s="486"/>
      <c r="B108" s="96"/>
      <c r="C108" s="65"/>
      <c r="D108" s="88"/>
      <c r="E108" s="66"/>
      <c r="F108" s="67"/>
      <c r="G108" s="78"/>
      <c r="H108" s="73"/>
      <c r="I108" s="83"/>
      <c r="J108" s="70"/>
      <c r="K108" s="454"/>
      <c r="L108" s="454"/>
      <c r="M108" s="454"/>
      <c r="N108" s="456"/>
      <c r="O108" s="428" t="str">
        <f>IF(OR(I108="",F108=Paramétrage!$C$9,F108=Paramétrage!$C$12,F108=Paramétrage!$C$15,F108=Paramétrage!$C$18,F108=[1]Paramétrage!$C$23,F108=Paramétrage!$C$25,J108="Mut+ext"),"",ROUNDUP(H108/I108,0))</f>
        <v/>
      </c>
      <c r="P108" s="46">
        <f>IF(F108="",0,IF(OR(J108="Mut+ext",VLOOKUP(F108,Paramétrage!$C$6:$E$27,2,0)=0),0,IF(I108="","saisir capacité",G108*O108*VLOOKUP(F108,Paramétrage!$C$6:$E$27,2,0))))</f>
        <v>0</v>
      </c>
      <c r="Q108" s="69"/>
      <c r="R108" s="44">
        <f t="shared" si="35"/>
        <v>0</v>
      </c>
      <c r="S108" s="61">
        <f>IF(F108="",0,IF(ISERROR(Q108+P108*VLOOKUP(F108,Paramétrage!$C$6:$E$27,3,0))=TRUE,R108,Q108+P108*VLOOKUP(F108,Paramétrage!$C$6:$E$27,3,0)))</f>
        <v>0</v>
      </c>
      <c r="T108" s="75"/>
      <c r="U108" s="75"/>
      <c r="V108" s="75"/>
      <c r="W108" s="75"/>
      <c r="X108" s="432">
        <f t="shared" si="36"/>
        <v>0</v>
      </c>
      <c r="Y108" s="453"/>
      <c r="Z108" s="454"/>
      <c r="AA108" s="455"/>
      <c r="AB108" s="60">
        <f>IF(B108="",0,IF(D108="",0,IF(SUMIF(B91:B110,B108,H91:H110)=0,0,IF(D108="Obligatoire",AC108/H108,IF(E108="",AC108/SUMIF(B91:B110,B108,H91:H110),AC108/(SUMIF(B91:B110,B108,H91:H110)/E108))))))</f>
        <v>0</v>
      </c>
      <c r="AC108" s="45">
        <f t="shared" si="40"/>
        <v>0</v>
      </c>
    </row>
    <row r="109" spans="1:29" x14ac:dyDescent="0.25">
      <c r="A109" s="486"/>
      <c r="B109" s="96"/>
      <c r="C109" s="65"/>
      <c r="D109" s="88"/>
      <c r="E109" s="66"/>
      <c r="F109" s="67"/>
      <c r="G109" s="78"/>
      <c r="H109" s="73"/>
      <c r="I109" s="83"/>
      <c r="J109" s="70"/>
      <c r="K109" s="454"/>
      <c r="L109" s="454"/>
      <c r="M109" s="454"/>
      <c r="N109" s="456"/>
      <c r="O109" s="428" t="str">
        <f>IF(OR(I109="",F109=Paramétrage!$C$9,F109=Paramétrage!$C$12,F109=Paramétrage!$C$15,F109=Paramétrage!$C$18,F109=[1]Paramétrage!$C$23,F109=Paramétrage!$C$25,J109="Mut+ext"),"",ROUNDUP(H109/I109,0))</f>
        <v/>
      </c>
      <c r="P109" s="46">
        <f>IF(F109="",0,IF(OR(J109="Mut+ext",VLOOKUP(F109,Paramétrage!$C$6:$E$27,2,0)=0),0,IF(I109="","saisir capacité",G109*O109*VLOOKUP(F109,Paramétrage!$C$6:$E$27,2,0))))</f>
        <v>0</v>
      </c>
      <c r="Q109" s="69"/>
      <c r="R109" s="44">
        <f t="shared" si="35"/>
        <v>0</v>
      </c>
      <c r="S109" s="61">
        <f>IF(F109="",0,IF(ISERROR(Q109+P109*VLOOKUP(F109,Paramétrage!$C$6:$E$27,3,0))=TRUE,R109,Q109+P109*VLOOKUP(F109,Paramétrage!$C$6:$E$27,3,0)))</f>
        <v>0</v>
      </c>
      <c r="T109" s="74"/>
      <c r="U109" s="74"/>
      <c r="V109" s="74"/>
      <c r="W109" s="74"/>
      <c r="X109" s="432">
        <f t="shared" si="36"/>
        <v>0</v>
      </c>
      <c r="Y109" s="453"/>
      <c r="Z109" s="454"/>
      <c r="AA109" s="455"/>
      <c r="AB109" s="60">
        <f>IF(B109="",0,IF(D109="",0,IF(SUMIF(B91:B110,B109,H91:H110)=0,0,IF(D109="Obligatoire",AC109/H109,IF(E109="",AC109/SUMIF(B91:B110,B109,H91:H110),AC109/(SUMIF(B91:B110,B109,H91:H110)/E109))))))</f>
        <v>0</v>
      </c>
      <c r="AC109" s="45">
        <f t="shared" si="40"/>
        <v>0</v>
      </c>
    </row>
    <row r="110" spans="1:29" x14ac:dyDescent="0.25">
      <c r="A110" s="486"/>
      <c r="B110" s="96"/>
      <c r="C110" s="65"/>
      <c r="D110" s="88"/>
      <c r="E110" s="66"/>
      <c r="F110" s="67"/>
      <c r="G110" s="78"/>
      <c r="H110" s="73"/>
      <c r="I110" s="83"/>
      <c r="J110" s="70"/>
      <c r="K110" s="454"/>
      <c r="L110" s="454"/>
      <c r="M110" s="454"/>
      <c r="N110" s="456"/>
      <c r="O110" s="428" t="str">
        <f>IF(OR(I110="",F110=Paramétrage!$C$9,F110=Paramétrage!$C$12,F110=Paramétrage!$C$15,F110=Paramétrage!$C$18,F110=[1]Paramétrage!$C$23,F110=Paramétrage!$C$25,J110="Mut+ext"),"",ROUNDUP(H110/I110,0))</f>
        <v/>
      </c>
      <c r="P110" s="46">
        <f>IF(F110="",0,IF(OR(J110="Mut+ext",VLOOKUP(F110,Paramétrage!$C$6:$E$27,2,0)=0),0,IF(I110="","saisir capacité",G110*O110*VLOOKUP(F110,Paramétrage!$C$6:$E$27,2,0))))</f>
        <v>0</v>
      </c>
      <c r="Q110" s="69"/>
      <c r="R110" s="44">
        <f t="shared" si="35"/>
        <v>0</v>
      </c>
      <c r="S110" s="61">
        <f>IF(F110="",0,IF(ISERROR(Q110+P110*VLOOKUP(F110,Paramétrage!$C$6:$E$27,3,0))=TRUE,R110,Q110+P110*VLOOKUP(F110,Paramétrage!$C$6:$E$27,3,0)))</f>
        <v>0</v>
      </c>
      <c r="T110" s="73"/>
      <c r="U110" s="73"/>
      <c r="V110" s="73"/>
      <c r="W110" s="73"/>
      <c r="X110" s="432">
        <f t="shared" si="36"/>
        <v>0</v>
      </c>
      <c r="Y110" s="453"/>
      <c r="Z110" s="454"/>
      <c r="AA110" s="455"/>
      <c r="AB110" s="60">
        <f>IF(B110="",0,IF(D110="",0,IF(SUMIF(B91:B110,B110,H91:H110)=0,0,IF(D110="Obligatoire",AC110/H110,IF(E110="",AC110/SUMIF(B91:B110,B110,H91:H110),AC110/(SUMIF(B91:B110,B110,H91:H110)/E110))))))</f>
        <v>0</v>
      </c>
      <c r="AC110" s="45">
        <f t="shared" si="40"/>
        <v>0</v>
      </c>
    </row>
    <row r="111" spans="1:29" ht="16.2" thickBot="1" x14ac:dyDescent="0.3">
      <c r="A111" s="485"/>
      <c r="B111" s="98"/>
      <c r="C111" s="49"/>
      <c r="D111" s="49"/>
      <c r="E111" s="50"/>
      <c r="F111" s="47"/>
      <c r="G111" s="85">
        <f>AB111</f>
        <v>0</v>
      </c>
      <c r="H111" s="79">
        <f>SUM(H91:H110)</f>
        <v>0</v>
      </c>
      <c r="I111" s="84"/>
      <c r="J111" s="90"/>
      <c r="K111" s="107"/>
      <c r="L111" s="107"/>
      <c r="M111" s="107"/>
      <c r="N111" s="108"/>
      <c r="O111" s="51"/>
      <c r="P111" s="109">
        <f>SUM(P91:P110)</f>
        <v>0</v>
      </c>
      <c r="Q111" s="47">
        <f>SUM(Q91:Q110)</f>
        <v>0</v>
      </c>
      <c r="R111" s="52">
        <f>P111+Q111</f>
        <v>0</v>
      </c>
      <c r="S111" s="110">
        <f>SUM(S91:S110)</f>
        <v>0</v>
      </c>
      <c r="T111" s="417"/>
      <c r="U111" s="417"/>
      <c r="V111" s="417"/>
      <c r="W111" s="417"/>
      <c r="X111" s="433"/>
      <c r="Y111" s="111"/>
      <c r="Z111" s="112"/>
      <c r="AA111" s="113"/>
      <c r="AB111" s="114">
        <f>SUM(AB91:AB110)</f>
        <v>0</v>
      </c>
      <c r="AC111" s="59">
        <f>SUM(AC91:AC110)</f>
        <v>0</v>
      </c>
    </row>
    <row r="112" spans="1:29" ht="15.6" customHeight="1" x14ac:dyDescent="0.25">
      <c r="A112" s="484" t="s">
        <v>118</v>
      </c>
      <c r="B112" s="95"/>
      <c r="C112" s="99"/>
      <c r="D112" s="87"/>
      <c r="E112" s="63"/>
      <c r="F112" s="64"/>
      <c r="G112" s="77"/>
      <c r="H112" s="72"/>
      <c r="I112" s="100"/>
      <c r="J112" s="89"/>
      <c r="K112" s="458"/>
      <c r="L112" s="458"/>
      <c r="M112" s="458"/>
      <c r="N112" s="471"/>
      <c r="O112" s="428" t="str">
        <f>IF(OR(I112="",F112=Paramétrage!$C$9,F112=Paramétrage!$C$12,F112=Paramétrage!$C$15,F112=Paramétrage!$C$18,F112=[1]Paramétrage!$C$23,F112=Paramétrage!$C$25,J112="Mut+ext"),"",ROUNDUP(H112/I112,0))</f>
        <v/>
      </c>
      <c r="P112" s="101">
        <f>IF(F112="",0,IF(OR(J112="Mut+ext",VLOOKUP(F112,Paramétrage!$C$6:$E$27,2,0)=0),0,IF(I112="","saisir capacité",G112*O112*VLOOKUP(F112,Paramétrage!$C$6:$E$27,2,0))))</f>
        <v>0</v>
      </c>
      <c r="Q112" s="102"/>
      <c r="R112" s="103">
        <f t="shared" ref="R112:R131" si="41">IF(ISERROR(P112+Q112)=TRUE,P112,P112+Q112)</f>
        <v>0</v>
      </c>
      <c r="S112" s="104">
        <f>IF(F112="",0,IF(ISERROR(Q112+P112*VLOOKUP(F112,Paramétrage!$C$6:$E$27,3,0))=TRUE,R112,Q112+P112*VLOOKUP(F112,Paramétrage!$C$6:$E$27,3,0)))</f>
        <v>0</v>
      </c>
      <c r="T112" s="72"/>
      <c r="U112" s="72"/>
      <c r="V112" s="72"/>
      <c r="W112" s="72"/>
      <c r="X112" s="431">
        <f>SUM(T112:W112)</f>
        <v>0</v>
      </c>
      <c r="Y112" s="462"/>
      <c r="Z112" s="462"/>
      <c r="AA112" s="463"/>
      <c r="AB112" s="105">
        <f>IF(B112="",0,IF(D112="",0,IF(SUMIF(B112:B131,B112,H112:H131)=0,0,IF(E112="",AC112/SUMIF(B112:B131,B112,H112:H131),AC112/(SUMIF(B112:B131,B112,H112:H131)/E112)))))</f>
        <v>0</v>
      </c>
      <c r="AC112" s="106">
        <f>G112*H112</f>
        <v>0</v>
      </c>
    </row>
    <row r="113" spans="1:29" x14ac:dyDescent="0.25">
      <c r="A113" s="486"/>
      <c r="B113" s="96"/>
      <c r="C113" s="65"/>
      <c r="D113" s="88"/>
      <c r="E113" s="66"/>
      <c r="F113" s="67"/>
      <c r="G113" s="78"/>
      <c r="H113" s="73"/>
      <c r="I113" s="83"/>
      <c r="J113" s="70"/>
      <c r="K113" s="454"/>
      <c r="L113" s="454"/>
      <c r="M113" s="454"/>
      <c r="N113" s="456"/>
      <c r="O113" s="428" t="str">
        <f>IF(OR(I113="",F113=Paramétrage!$C$9,F113=Paramétrage!$C$12,F113=Paramétrage!$C$15,F113=Paramétrage!$C$18,F113=[1]Paramétrage!$C$23,F113=Paramétrage!$C$25,J113="Mut+ext"),"",ROUNDUP(H113/I113,0))</f>
        <v/>
      </c>
      <c r="P113" s="46">
        <f>IF(F113="",0,IF(OR(J113="Mut+ext",VLOOKUP(F113,Paramétrage!$C$6:$E$27,2,0)=0),0,IF(I113="","saisir capacité",G113*O113*VLOOKUP(F113,Paramétrage!$C$6:$E$27,2,0))))</f>
        <v>0</v>
      </c>
      <c r="Q113" s="69"/>
      <c r="R113" s="44">
        <f t="shared" si="41"/>
        <v>0</v>
      </c>
      <c r="S113" s="61">
        <f>IF(F113="",0,IF(ISERROR(Q113+P113*VLOOKUP(F113,Paramétrage!$C$6:$E$27,3,0))=TRUE,R113,Q113+P113*VLOOKUP(F113,Paramétrage!$C$6:$E$27,3,0)))</f>
        <v>0</v>
      </c>
      <c r="T113" s="73"/>
      <c r="U113" s="73"/>
      <c r="V113" s="73"/>
      <c r="W113" s="73"/>
      <c r="X113" s="432">
        <f t="shared" ref="X113:X131" si="42">SUM(T113:W113)</f>
        <v>0</v>
      </c>
      <c r="Y113" s="460"/>
      <c r="Z113" s="460"/>
      <c r="AA113" s="461"/>
      <c r="AB113" s="60">
        <f>IF(B113="",0,IF(D113="",0,IF(SUMIF(B113:B132,B113,H113:H132)=0,0,IF(E113="",AC113/SUMIF(B113:B132,B113,H113:H132),AC113/(SUMIF(B113:B132,B113,H113:H132)/E113)))))</f>
        <v>0</v>
      </c>
      <c r="AC113" s="45">
        <f>G113*H113</f>
        <v>0</v>
      </c>
    </row>
    <row r="114" spans="1:29" x14ac:dyDescent="0.25">
      <c r="A114" s="486"/>
      <c r="B114" s="96"/>
      <c r="C114" s="65"/>
      <c r="D114" s="88"/>
      <c r="E114" s="66"/>
      <c r="F114" s="67"/>
      <c r="G114" s="78"/>
      <c r="H114" s="73"/>
      <c r="I114" s="83"/>
      <c r="J114" s="70"/>
      <c r="K114" s="454"/>
      <c r="L114" s="454"/>
      <c r="M114" s="454"/>
      <c r="N114" s="456"/>
      <c r="O114" s="428" t="str">
        <f>IF(OR(I114="",F114=Paramétrage!$C$9,F114=Paramétrage!$C$12,F114=Paramétrage!$C$15,F114=Paramétrage!$C$18,F114=[1]Paramétrage!$C$23,F114=Paramétrage!$C$25,J114="Mut+ext"),"",ROUNDUP(H114/I114,0))</f>
        <v/>
      </c>
      <c r="P114" s="46">
        <f>IF(F114="",0,IF(OR(J114="Mut+ext",VLOOKUP(F114,Paramétrage!$C$6:$E$27,2,0)=0),0,IF(I114="","saisir capacité",G114*O114*VLOOKUP(F114,Paramétrage!$C$6:$E$27,2,0))))</f>
        <v>0</v>
      </c>
      <c r="Q114" s="69"/>
      <c r="R114" s="44">
        <f t="shared" si="41"/>
        <v>0</v>
      </c>
      <c r="S114" s="61">
        <f>IF(F114="",0,IF(ISERROR(Q114+P114*VLOOKUP(F114,Paramétrage!$C$6:$E$27,3,0))=TRUE,R114,Q114+P114*VLOOKUP(F114,Paramétrage!$C$6:$E$27,3,0)))</f>
        <v>0</v>
      </c>
      <c r="T114" s="73"/>
      <c r="U114" s="73"/>
      <c r="V114" s="73"/>
      <c r="W114" s="73"/>
      <c r="X114" s="432">
        <f t="shared" si="42"/>
        <v>0</v>
      </c>
      <c r="Y114" s="93"/>
      <c r="Z114" s="93"/>
      <c r="AA114" s="94"/>
      <c r="AB114" s="60">
        <f>IF(B114="",0,IF(D114="",0,IF(SUMIF(B114:B132,B114,H114:H132)=0,0,IF(E114="",AC114/SUMIF(B114:B132,B114,H114:H132),AC114/(SUMIF(B114:B132,B114,H114:H132)/E114)))))</f>
        <v>0</v>
      </c>
      <c r="AC114" s="45">
        <f t="shared" ref="AC114:AC128" si="43">G114*H114</f>
        <v>0</v>
      </c>
    </row>
    <row r="115" spans="1:29" x14ac:dyDescent="0.25">
      <c r="A115" s="486"/>
      <c r="B115" s="96"/>
      <c r="C115" s="65"/>
      <c r="D115" s="88"/>
      <c r="E115" s="66"/>
      <c r="F115" s="67"/>
      <c r="G115" s="78"/>
      <c r="H115" s="73"/>
      <c r="I115" s="83"/>
      <c r="J115" s="70"/>
      <c r="K115" s="454"/>
      <c r="L115" s="454"/>
      <c r="M115" s="454"/>
      <c r="N115" s="456"/>
      <c r="O115" s="428" t="str">
        <f>IF(OR(I115="",F115=Paramétrage!$C$9,F115=Paramétrage!$C$12,F115=Paramétrage!$C$15,F115=Paramétrage!$C$18,F115=[1]Paramétrage!$C$23,F115=Paramétrage!$C$25,J115="Mut+ext"),"",ROUNDUP(H115/I115,0))</f>
        <v/>
      </c>
      <c r="P115" s="46">
        <f>IF(F115="",0,IF(OR(J115="Mut+ext",VLOOKUP(F115,Paramétrage!$C$6:$E$27,2,0)=0),0,IF(I115="","saisir capacité",G115*O115*VLOOKUP(F115,Paramétrage!$C$6:$E$27,2,0))))</f>
        <v>0</v>
      </c>
      <c r="Q115" s="69"/>
      <c r="R115" s="44">
        <f t="shared" si="41"/>
        <v>0</v>
      </c>
      <c r="S115" s="61">
        <f>IF(F115="",0,IF(ISERROR(Q115+P115*VLOOKUP(F115,Paramétrage!$C$6:$E$27,3,0))=TRUE,R115,Q115+P115*VLOOKUP(F115,Paramétrage!$C$6:$E$27,3,0)))</f>
        <v>0</v>
      </c>
      <c r="T115" s="73"/>
      <c r="U115" s="73"/>
      <c r="V115" s="73"/>
      <c r="W115" s="73"/>
      <c r="X115" s="432">
        <f t="shared" si="42"/>
        <v>0</v>
      </c>
      <c r="Y115" s="93"/>
      <c r="Z115" s="93"/>
      <c r="AA115" s="94"/>
      <c r="AB115" s="60">
        <f>IF(B115="",0,IF(D115="",0,IF(SUMIF(B115:B132,B115,H115:H132)=0,0,IF(E115="",AC115/SUMIF(B115:B132,B115,H115:H132),AC115/(SUMIF(B115:B132,B115,H115:H132)/E115)))))</f>
        <v>0</v>
      </c>
      <c r="AC115" s="45">
        <f t="shared" si="43"/>
        <v>0</v>
      </c>
    </row>
    <row r="116" spans="1:29" x14ac:dyDescent="0.25">
      <c r="A116" s="486"/>
      <c r="B116" s="96"/>
      <c r="C116" s="65"/>
      <c r="D116" s="88"/>
      <c r="E116" s="66"/>
      <c r="F116" s="67"/>
      <c r="G116" s="78"/>
      <c r="H116" s="73"/>
      <c r="I116" s="83"/>
      <c r="J116" s="70"/>
      <c r="K116" s="454"/>
      <c r="L116" s="454"/>
      <c r="M116" s="454"/>
      <c r="N116" s="456"/>
      <c r="O116" s="428" t="str">
        <f>IF(OR(I116="",F116=Paramétrage!$C$9,F116=Paramétrage!$C$12,F116=Paramétrage!$C$15,F116=Paramétrage!$C$18,F116=[1]Paramétrage!$C$23,F116=Paramétrage!$C$25,J116="Mut+ext"),"",ROUNDUP(H116/I116,0))</f>
        <v/>
      </c>
      <c r="P116" s="46">
        <f>IF(F116="",0,IF(OR(J116="Mut+ext",VLOOKUP(F116,Paramétrage!$C$6:$E$27,2,0)=0),0,IF(I116="","saisir capacité",G116*O116*VLOOKUP(F116,Paramétrage!$C$6:$E$27,2,0))))</f>
        <v>0</v>
      </c>
      <c r="Q116" s="69"/>
      <c r="R116" s="44">
        <f t="shared" si="41"/>
        <v>0</v>
      </c>
      <c r="S116" s="61">
        <f>IF(F116="",0,IF(ISERROR(Q116+P116*VLOOKUP(F116,Paramétrage!$C$6:$E$27,3,0))=TRUE,R116,Q116+P116*VLOOKUP(F116,Paramétrage!$C$6:$E$27,3,0)))</f>
        <v>0</v>
      </c>
      <c r="T116" s="73"/>
      <c r="U116" s="73"/>
      <c r="V116" s="73"/>
      <c r="W116" s="73"/>
      <c r="X116" s="432">
        <f t="shared" si="42"/>
        <v>0</v>
      </c>
      <c r="Y116" s="93"/>
      <c r="Z116" s="93"/>
      <c r="AA116" s="94"/>
      <c r="AB116" s="60">
        <f>IF(B116="",0,IF(D116="",0,IF(SUMIF(B116:B132,B116,H116:H132)=0,0,IF(E116="",AC116/SUMIF(B116:B132,B116,H116:H132),AC116/(SUMIF(B116:B132,B116,H116:H132)/E116)))))</f>
        <v>0</v>
      </c>
      <c r="AC116" s="45">
        <f t="shared" si="43"/>
        <v>0</v>
      </c>
    </row>
    <row r="117" spans="1:29" x14ac:dyDescent="0.25">
      <c r="A117" s="486"/>
      <c r="B117" s="96"/>
      <c r="C117" s="65"/>
      <c r="D117" s="88"/>
      <c r="E117" s="66"/>
      <c r="F117" s="67"/>
      <c r="G117" s="78"/>
      <c r="H117" s="73"/>
      <c r="I117" s="83"/>
      <c r="J117" s="70"/>
      <c r="K117" s="454"/>
      <c r="L117" s="454"/>
      <c r="M117" s="454"/>
      <c r="N117" s="456"/>
      <c r="O117" s="428" t="str">
        <f>IF(OR(I117="",F117=Paramétrage!$C$9,F117=Paramétrage!$C$12,F117=Paramétrage!$C$15,F117=Paramétrage!$C$18,F117=[1]Paramétrage!$C$23,F117=Paramétrage!$C$25,J117="Mut+ext"),"",ROUNDUP(H117/I117,0))</f>
        <v/>
      </c>
      <c r="P117" s="46">
        <f>IF(F117="",0,IF(OR(J117="Mut+ext",VLOOKUP(F117,Paramétrage!$C$6:$E$27,2,0)=0),0,IF(I117="","saisir capacité",G117*O117*VLOOKUP(F117,Paramétrage!$C$6:$E$27,2,0))))</f>
        <v>0</v>
      </c>
      <c r="Q117" s="69"/>
      <c r="R117" s="44">
        <f t="shared" si="41"/>
        <v>0</v>
      </c>
      <c r="S117" s="61">
        <f>IF(F117="",0,IF(ISERROR(Q117+P117*VLOOKUP(F117,Paramétrage!$C$6:$E$27,3,0))=TRUE,R117,Q117+P117*VLOOKUP(F117,Paramétrage!$C$6:$E$27,3,0)))</f>
        <v>0</v>
      </c>
      <c r="T117" s="73"/>
      <c r="U117" s="73"/>
      <c r="V117" s="73"/>
      <c r="W117" s="73"/>
      <c r="X117" s="432">
        <f t="shared" si="42"/>
        <v>0</v>
      </c>
      <c r="Y117" s="93"/>
      <c r="Z117" s="93"/>
      <c r="AA117" s="94"/>
      <c r="AB117" s="60">
        <f>IF(B117="",0,IF(D117="",0,IF(SUMIF(B117:B132,B117,H117:H132)=0,0,IF(E117="",AC117/SUMIF(B117:B132,B117,H117:H132),AC117/(SUMIF(B117:B132,B117,H117:H132)/E117)))))</f>
        <v>0</v>
      </c>
      <c r="AC117" s="45">
        <f t="shared" si="43"/>
        <v>0</v>
      </c>
    </row>
    <row r="118" spans="1:29" x14ac:dyDescent="0.25">
      <c r="A118" s="486"/>
      <c r="B118" s="96"/>
      <c r="C118" s="65"/>
      <c r="D118" s="88"/>
      <c r="E118" s="66"/>
      <c r="F118" s="67"/>
      <c r="G118" s="78"/>
      <c r="H118" s="73"/>
      <c r="I118" s="83"/>
      <c r="J118" s="70"/>
      <c r="K118" s="454"/>
      <c r="L118" s="454"/>
      <c r="M118" s="454"/>
      <c r="N118" s="456"/>
      <c r="O118" s="428" t="str">
        <f>IF(OR(I118="",F118=Paramétrage!$C$9,F118=Paramétrage!$C$12,F118=Paramétrage!$C$15,F118=Paramétrage!$C$18,F118=[1]Paramétrage!$C$23,F118=Paramétrage!$C$25,J118="Mut+ext"),"",ROUNDUP(H118/I118,0))</f>
        <v/>
      </c>
      <c r="P118" s="46">
        <f>IF(F118="",0,IF(OR(J118="Mut+ext",VLOOKUP(F118,Paramétrage!$C$6:$E$27,2,0)=0),0,IF(I118="","saisir capacité",G118*O118*VLOOKUP(F118,Paramétrage!$C$6:$E$27,2,0))))</f>
        <v>0</v>
      </c>
      <c r="Q118" s="69"/>
      <c r="R118" s="44">
        <f t="shared" si="41"/>
        <v>0</v>
      </c>
      <c r="S118" s="61">
        <f>IF(F118="",0,IF(ISERROR(Q118+P118*VLOOKUP(F118,Paramétrage!$C$6:$E$27,3,0))=TRUE,R118,Q118+P118*VLOOKUP(F118,Paramétrage!$C$6:$E$27,3,0)))</f>
        <v>0</v>
      </c>
      <c r="T118" s="73"/>
      <c r="U118" s="73"/>
      <c r="V118" s="73"/>
      <c r="W118" s="73"/>
      <c r="X118" s="432">
        <f t="shared" si="42"/>
        <v>0</v>
      </c>
      <c r="Y118" s="93"/>
      <c r="Z118" s="93"/>
      <c r="AA118" s="94"/>
      <c r="AB118" s="60">
        <f>IF(B118="",0,IF(D118="",0,IF(SUMIF(B118:B132,B118,H118:H132)=0,0,IF(E118="",AC118/SUMIF(B118:B132,B118,H118:H132),AC118/(SUMIF(B118:B132,B118,H118:H132)/E118)))))</f>
        <v>0</v>
      </c>
      <c r="AC118" s="45">
        <f t="shared" si="43"/>
        <v>0</v>
      </c>
    </row>
    <row r="119" spans="1:29" x14ac:dyDescent="0.25">
      <c r="A119" s="486"/>
      <c r="B119" s="96"/>
      <c r="C119" s="65"/>
      <c r="D119" s="88"/>
      <c r="E119" s="66"/>
      <c r="F119" s="67"/>
      <c r="G119" s="78"/>
      <c r="H119" s="73"/>
      <c r="I119" s="83"/>
      <c r="J119" s="70"/>
      <c r="K119" s="454"/>
      <c r="L119" s="454"/>
      <c r="M119" s="454"/>
      <c r="N119" s="456"/>
      <c r="O119" s="428" t="str">
        <f>IF(OR(I119="",F119=Paramétrage!$C$9,F119=Paramétrage!$C$12,F119=Paramétrage!$C$15,F119=Paramétrage!$C$18,F119=[1]Paramétrage!$C$23,F119=Paramétrage!$C$25,J119="Mut+ext"),"",ROUNDUP(H119/I119,0))</f>
        <v/>
      </c>
      <c r="P119" s="46">
        <f>IF(F119="",0,IF(OR(J119="Mut+ext",VLOOKUP(F119,Paramétrage!$C$6:$E$27,2,0)=0),0,IF(I119="","saisir capacité",G119*O119*VLOOKUP(F119,Paramétrage!$C$6:$E$27,2,0))))</f>
        <v>0</v>
      </c>
      <c r="Q119" s="69"/>
      <c r="R119" s="44">
        <f t="shared" si="41"/>
        <v>0</v>
      </c>
      <c r="S119" s="61">
        <f>IF(F119="",0,IF(ISERROR(Q119+P119*VLOOKUP(F119,Paramétrage!$C$6:$E$27,3,0))=TRUE,R119,Q119+P119*VLOOKUP(F119,Paramétrage!$C$6:$E$27,3,0)))</f>
        <v>0</v>
      </c>
      <c r="T119" s="73"/>
      <c r="U119" s="73"/>
      <c r="V119" s="73"/>
      <c r="W119" s="73"/>
      <c r="X119" s="432">
        <f t="shared" si="42"/>
        <v>0</v>
      </c>
      <c r="Y119" s="93"/>
      <c r="Z119" s="93"/>
      <c r="AA119" s="94"/>
      <c r="AB119" s="60">
        <f>IF(B119="",0,IF(D119="",0,IF(SUMIF(B119:B132,B119,H119:H132)=0,0,IF(E119="",AC119/SUMIF(B119:B132,B119,H119:H132),AC119/(SUMIF(B119:B132,B119,H119:H132)/E119)))))</f>
        <v>0</v>
      </c>
      <c r="AC119" s="45">
        <f t="shared" si="43"/>
        <v>0</v>
      </c>
    </row>
    <row r="120" spans="1:29" x14ac:dyDescent="0.25">
      <c r="A120" s="486"/>
      <c r="B120" s="96"/>
      <c r="C120" s="65"/>
      <c r="D120" s="88"/>
      <c r="E120" s="66"/>
      <c r="F120" s="67"/>
      <c r="G120" s="78"/>
      <c r="H120" s="73"/>
      <c r="I120" s="83"/>
      <c r="J120" s="70"/>
      <c r="K120" s="454"/>
      <c r="L120" s="454"/>
      <c r="M120" s="454"/>
      <c r="N120" s="456"/>
      <c r="O120" s="428" t="str">
        <f>IF(OR(I120="",F120=Paramétrage!$C$9,F120=Paramétrage!$C$12,F120=Paramétrage!$C$15,F120=Paramétrage!$C$18,F120=[1]Paramétrage!$C$23,F120=Paramétrage!$C$25,J120="Mut+ext"),"",ROUNDUP(H120/I120,0))</f>
        <v/>
      </c>
      <c r="P120" s="46">
        <f>IF(F120="",0,IF(OR(J120="Mut+ext",VLOOKUP(F120,Paramétrage!$C$6:$E$27,2,0)=0),0,IF(I120="","saisir capacité",G120*O120*VLOOKUP(F120,Paramétrage!$C$6:$E$27,2,0))))</f>
        <v>0</v>
      </c>
      <c r="Q120" s="69"/>
      <c r="R120" s="44">
        <f t="shared" si="41"/>
        <v>0</v>
      </c>
      <c r="S120" s="61">
        <f>IF(F120="",0,IF(ISERROR(Q120+P120*VLOOKUP(F120,Paramétrage!$C$6:$E$27,3,0))=TRUE,R120,Q120+P120*VLOOKUP(F120,Paramétrage!$C$6:$E$27,3,0)))</f>
        <v>0</v>
      </c>
      <c r="T120" s="73"/>
      <c r="U120" s="73"/>
      <c r="V120" s="73"/>
      <c r="W120" s="73"/>
      <c r="X120" s="432">
        <f t="shared" si="42"/>
        <v>0</v>
      </c>
      <c r="Y120" s="93"/>
      <c r="Z120" s="93"/>
      <c r="AA120" s="94"/>
      <c r="AB120" s="60">
        <f>IF(B120="",0,IF(D120="",0,IF(SUMIF(B120:B132,B120,H120:H132)=0,0,IF(E120="",AC120/SUMIF(B120:B132,B120,H120:H132),AC120/(SUMIF(B120:B132,B120,H120:H132)/E120)))))</f>
        <v>0</v>
      </c>
      <c r="AC120" s="45">
        <f t="shared" si="43"/>
        <v>0</v>
      </c>
    </row>
    <row r="121" spans="1:29" x14ac:dyDescent="0.25">
      <c r="A121" s="486"/>
      <c r="B121" s="96"/>
      <c r="C121" s="65"/>
      <c r="D121" s="88"/>
      <c r="E121" s="66"/>
      <c r="F121" s="67"/>
      <c r="G121" s="78"/>
      <c r="H121" s="73"/>
      <c r="I121" s="83"/>
      <c r="J121" s="70"/>
      <c r="K121" s="454"/>
      <c r="L121" s="454"/>
      <c r="M121" s="454"/>
      <c r="N121" s="456"/>
      <c r="O121" s="428" t="str">
        <f>IF(OR(I121="",F121=Paramétrage!$C$9,F121=Paramétrage!$C$12,F121=Paramétrage!$C$15,F121=Paramétrage!$C$18,F121=[1]Paramétrage!$C$23,F121=Paramétrage!$C$25,J121="Mut+ext"),"",ROUNDUP(H121/I121,0))</f>
        <v/>
      </c>
      <c r="P121" s="46">
        <f>IF(F121="",0,IF(OR(J121="Mut+ext",VLOOKUP(F121,Paramétrage!$C$6:$E$27,2,0)=0),0,IF(I121="","saisir capacité",G121*O121*VLOOKUP(F121,Paramétrage!$C$6:$E$27,2,0))))</f>
        <v>0</v>
      </c>
      <c r="Q121" s="69"/>
      <c r="R121" s="44">
        <f t="shared" si="41"/>
        <v>0</v>
      </c>
      <c r="S121" s="61">
        <f>IF(F121="",0,IF(ISERROR(Q121+P121*VLOOKUP(F121,Paramétrage!$C$6:$E$27,3,0))=TRUE,R121,Q121+P121*VLOOKUP(F121,Paramétrage!$C$6:$E$27,3,0)))</f>
        <v>0</v>
      </c>
      <c r="T121" s="73"/>
      <c r="U121" s="73"/>
      <c r="V121" s="73"/>
      <c r="W121" s="73"/>
      <c r="X121" s="432">
        <f t="shared" si="42"/>
        <v>0</v>
      </c>
      <c r="Y121" s="93"/>
      <c r="Z121" s="93"/>
      <c r="AA121" s="94"/>
      <c r="AB121" s="60">
        <f>IF(B121="",0,IF(D121="",0,IF(SUMIF(B121:B132,B121,H121:H132)=0,0,IF(E121="",AC121/SUMIF(B121:B132,B121,H121:H132),AC121/(SUMIF(B121:B132,B121,H121:H132)/E121)))))</f>
        <v>0</v>
      </c>
      <c r="AC121" s="45">
        <f t="shared" si="43"/>
        <v>0</v>
      </c>
    </row>
    <row r="122" spans="1:29" x14ac:dyDescent="0.25">
      <c r="A122" s="486"/>
      <c r="B122" s="96"/>
      <c r="C122" s="65"/>
      <c r="D122" s="88"/>
      <c r="E122" s="66"/>
      <c r="F122" s="67"/>
      <c r="G122" s="78"/>
      <c r="H122" s="73"/>
      <c r="I122" s="83"/>
      <c r="J122" s="70"/>
      <c r="K122" s="454"/>
      <c r="L122" s="454"/>
      <c r="M122" s="454"/>
      <c r="N122" s="456"/>
      <c r="O122" s="428" t="str">
        <f>IF(OR(I122="",F122=Paramétrage!$C$9,F122=Paramétrage!$C$12,F122=Paramétrage!$C$15,F122=Paramétrage!$C$18,F122=[1]Paramétrage!$C$23,F122=Paramétrage!$C$25,J122="Mut+ext"),"",ROUNDUP(H122/I122,0))</f>
        <v/>
      </c>
      <c r="P122" s="46">
        <f>IF(F122="",0,IF(OR(J122="Mut+ext",VLOOKUP(F122,Paramétrage!$C$6:$E$27,2,0)=0),0,IF(I122="","saisir capacité",G122*O122*VLOOKUP(F122,Paramétrage!$C$6:$E$27,2,0))))</f>
        <v>0</v>
      </c>
      <c r="Q122" s="69"/>
      <c r="R122" s="44">
        <f t="shared" si="41"/>
        <v>0</v>
      </c>
      <c r="S122" s="61">
        <f>IF(F122="",0,IF(ISERROR(Q122+P122*VLOOKUP(F122,Paramétrage!$C$6:$E$27,3,0))=TRUE,R122,Q122+P122*VLOOKUP(F122,Paramétrage!$C$6:$E$27,3,0)))</f>
        <v>0</v>
      </c>
      <c r="T122" s="73"/>
      <c r="U122" s="73"/>
      <c r="V122" s="73"/>
      <c r="W122" s="73"/>
      <c r="X122" s="432">
        <f t="shared" si="42"/>
        <v>0</v>
      </c>
      <c r="Y122" s="93"/>
      <c r="Z122" s="93"/>
      <c r="AA122" s="94"/>
      <c r="AB122" s="60">
        <f>IF(B122="",0,IF(D122="",0,IF(SUMIF(B122:B132,B122,H122:H132)=0,0,IF(E122="",AC122/SUMIF(B122:B132,B122,H122:H132),AC122/(SUMIF(B122:B132,B122,H122:H132)/E122)))))</f>
        <v>0</v>
      </c>
      <c r="AC122" s="45">
        <f t="shared" si="43"/>
        <v>0</v>
      </c>
    </row>
    <row r="123" spans="1:29" x14ac:dyDescent="0.25">
      <c r="A123" s="486"/>
      <c r="B123" s="96"/>
      <c r="C123" s="65"/>
      <c r="D123" s="88"/>
      <c r="E123" s="66"/>
      <c r="F123" s="67"/>
      <c r="G123" s="78"/>
      <c r="H123" s="73"/>
      <c r="I123" s="83"/>
      <c r="J123" s="70"/>
      <c r="K123" s="454"/>
      <c r="L123" s="454"/>
      <c r="M123" s="454"/>
      <c r="N123" s="456"/>
      <c r="O123" s="428" t="str">
        <f>IF(OR(I123="",F123=Paramétrage!$C$9,F123=Paramétrage!$C$12,F123=Paramétrage!$C$15,F123=Paramétrage!$C$18,F123=[1]Paramétrage!$C$23,F123=Paramétrage!$C$25,J123="Mut+ext"),"",ROUNDUP(H123/I123,0))</f>
        <v/>
      </c>
      <c r="P123" s="46">
        <f>IF(F123="",0,IF(OR(J123="Mut+ext",VLOOKUP(F123,Paramétrage!$C$6:$E$27,2,0)=0),0,IF(I123="","saisir capacité",G123*O123*VLOOKUP(F123,Paramétrage!$C$6:$E$27,2,0))))</f>
        <v>0</v>
      </c>
      <c r="Q123" s="69"/>
      <c r="R123" s="44">
        <f t="shared" si="41"/>
        <v>0</v>
      </c>
      <c r="S123" s="61">
        <f>IF(F123="",0,IF(ISERROR(Q123+P123*VLOOKUP(F123,Paramétrage!$C$6:$E$27,3,0))=TRUE,R123,Q123+P123*VLOOKUP(F123,Paramétrage!$C$6:$E$27,3,0)))</f>
        <v>0</v>
      </c>
      <c r="T123" s="73"/>
      <c r="U123" s="73"/>
      <c r="V123" s="73"/>
      <c r="W123" s="73"/>
      <c r="X123" s="432">
        <f t="shared" si="42"/>
        <v>0</v>
      </c>
      <c r="Y123" s="93"/>
      <c r="Z123" s="93"/>
      <c r="AA123" s="94"/>
      <c r="AB123" s="60">
        <f>IF(B123="",0,IF(D123="",0,IF(SUMIF(B123:B132,B123,H123:H132)=0,0,IF(E123="",AC123/SUMIF(B123:B132,B123,H123:H132),AC123/(SUMIF(B123:B132,B123,H123:H132)/E123)))))</f>
        <v>0</v>
      </c>
      <c r="AC123" s="45">
        <f t="shared" si="43"/>
        <v>0</v>
      </c>
    </row>
    <row r="124" spans="1:29" x14ac:dyDescent="0.25">
      <c r="A124" s="486"/>
      <c r="B124" s="96"/>
      <c r="C124" s="65"/>
      <c r="D124" s="88"/>
      <c r="E124" s="66"/>
      <c r="F124" s="67"/>
      <c r="G124" s="78"/>
      <c r="H124" s="73"/>
      <c r="I124" s="83"/>
      <c r="J124" s="70"/>
      <c r="K124" s="454"/>
      <c r="L124" s="454"/>
      <c r="M124" s="454"/>
      <c r="N124" s="456"/>
      <c r="O124" s="428" t="str">
        <f>IF(OR(I124="",F124=Paramétrage!$C$9,F124=Paramétrage!$C$12,F124=Paramétrage!$C$15,F124=Paramétrage!$C$18,F124=[1]Paramétrage!$C$23,F124=Paramétrage!$C$25,J124="Mut+ext"),"",ROUNDUP(H124/I124,0))</f>
        <v/>
      </c>
      <c r="P124" s="46">
        <f>IF(F124="",0,IF(OR(J124="Mut+ext",VLOOKUP(F124,Paramétrage!$C$6:$E$27,2,0)=0),0,IF(I124="","saisir capacité",G124*O124*VLOOKUP(F124,Paramétrage!$C$6:$E$27,2,0))))</f>
        <v>0</v>
      </c>
      <c r="Q124" s="69"/>
      <c r="R124" s="44">
        <f t="shared" si="41"/>
        <v>0</v>
      </c>
      <c r="S124" s="61">
        <f>IF(F124="",0,IF(ISERROR(Q124+P124*VLOOKUP(F124,Paramétrage!$C$6:$E$27,3,0))=TRUE,R124,Q124+P124*VLOOKUP(F124,Paramétrage!$C$6:$E$27,3,0)))</f>
        <v>0</v>
      </c>
      <c r="T124" s="73"/>
      <c r="U124" s="73"/>
      <c r="V124" s="73"/>
      <c r="W124" s="73"/>
      <c r="X124" s="432">
        <f t="shared" si="42"/>
        <v>0</v>
      </c>
      <c r="Y124" s="93"/>
      <c r="Z124" s="93"/>
      <c r="AA124" s="94"/>
      <c r="AB124" s="60">
        <f>IF(B124="",0,IF(D124="",0,IF(SUMIF(B124:B132,B124,H124:H132)=0,0,IF(E124="",AC124/SUMIF(B124:B132,B124,H124:H132),AC124/(SUMIF(B124:B132,B124,H124:H132)/E124)))))</f>
        <v>0</v>
      </c>
      <c r="AC124" s="45">
        <f t="shared" si="43"/>
        <v>0</v>
      </c>
    </row>
    <row r="125" spans="1:29" x14ac:dyDescent="0.25">
      <c r="A125" s="486"/>
      <c r="B125" s="96"/>
      <c r="C125" s="65"/>
      <c r="D125" s="88"/>
      <c r="E125" s="66"/>
      <c r="F125" s="67"/>
      <c r="G125" s="78"/>
      <c r="H125" s="73"/>
      <c r="I125" s="83"/>
      <c r="J125" s="70"/>
      <c r="K125" s="454"/>
      <c r="L125" s="454"/>
      <c r="M125" s="454"/>
      <c r="N125" s="456"/>
      <c r="O125" s="428" t="str">
        <f>IF(OR(I125="",F125=Paramétrage!$C$9,F125=Paramétrage!$C$12,F125=Paramétrage!$C$15,F125=Paramétrage!$C$18,F125=[1]Paramétrage!$C$23,F125=Paramétrage!$C$25,J125="Mut+ext"),"",ROUNDUP(H125/I125,0))</f>
        <v/>
      </c>
      <c r="P125" s="46">
        <f>IF(F125="",0,IF(OR(J125="Mut+ext",VLOOKUP(F125,Paramétrage!$C$6:$E$27,2,0)=0),0,IF(I125="","saisir capacité",G125*O125*VLOOKUP(F125,Paramétrage!$C$6:$E$27,2,0))))</f>
        <v>0</v>
      </c>
      <c r="Q125" s="69"/>
      <c r="R125" s="44">
        <f t="shared" si="41"/>
        <v>0</v>
      </c>
      <c r="S125" s="61">
        <f>IF(F125="",0,IF(ISERROR(Q125+P125*VLOOKUP(F125,Paramétrage!$C$6:$E$27,3,0))=TRUE,R125,Q125+P125*VLOOKUP(F125,Paramétrage!$C$6:$E$27,3,0)))</f>
        <v>0</v>
      </c>
      <c r="T125" s="73"/>
      <c r="U125" s="73"/>
      <c r="V125" s="73"/>
      <c r="W125" s="73"/>
      <c r="X125" s="432">
        <f t="shared" si="42"/>
        <v>0</v>
      </c>
      <c r="Y125" s="93"/>
      <c r="Z125" s="93"/>
      <c r="AA125" s="94"/>
      <c r="AB125" s="60">
        <f>IF(B125="",0,IF(D125="",0,IF(SUMIF(B125:B132,B125,H125:H132)=0,0,IF(E125="",AC125/SUMIF(B125:B132,B125,H125:H132),AC125/(SUMIF(B125:B132,B125,H125:H132)/E125)))))</f>
        <v>0</v>
      </c>
      <c r="AC125" s="45">
        <f t="shared" si="43"/>
        <v>0</v>
      </c>
    </row>
    <row r="126" spans="1:29" x14ac:dyDescent="0.25">
      <c r="A126" s="486"/>
      <c r="B126" s="96"/>
      <c r="C126" s="65"/>
      <c r="D126" s="88"/>
      <c r="E126" s="66"/>
      <c r="F126" s="67"/>
      <c r="G126" s="78"/>
      <c r="H126" s="73"/>
      <c r="I126" s="83"/>
      <c r="J126" s="70"/>
      <c r="K126" s="454"/>
      <c r="L126" s="454"/>
      <c r="M126" s="454"/>
      <c r="N126" s="456"/>
      <c r="O126" s="428" t="str">
        <f>IF(OR(I126="",F126=Paramétrage!$C$9,F126=Paramétrage!$C$12,F126=Paramétrage!$C$15,F126=Paramétrage!$C$18,F126=[1]Paramétrage!$C$23,F126=Paramétrage!$C$25,J126="Mut+ext"),"",ROUNDUP(H126/I126,0))</f>
        <v/>
      </c>
      <c r="P126" s="46">
        <f>IF(F126="",0,IF(OR(J126="Mut+ext",VLOOKUP(F126,Paramétrage!$C$6:$E$27,2,0)=0),0,IF(I126="","saisir capacité",G126*O126*VLOOKUP(F126,Paramétrage!$C$6:$E$27,2,0))))</f>
        <v>0</v>
      </c>
      <c r="Q126" s="69"/>
      <c r="R126" s="44">
        <f t="shared" si="41"/>
        <v>0</v>
      </c>
      <c r="S126" s="61">
        <f>IF(F126="",0,IF(ISERROR(Q126+P126*VLOOKUP(F126,Paramétrage!$C$6:$E$27,3,0))=TRUE,R126,Q126+P126*VLOOKUP(F126,Paramétrage!$C$6:$E$27,3,0)))</f>
        <v>0</v>
      </c>
      <c r="T126" s="73"/>
      <c r="U126" s="73"/>
      <c r="V126" s="73"/>
      <c r="W126" s="73"/>
      <c r="X126" s="432">
        <f t="shared" si="42"/>
        <v>0</v>
      </c>
      <c r="Y126" s="93"/>
      <c r="Z126" s="93"/>
      <c r="AA126" s="94"/>
      <c r="AB126" s="60">
        <f>IF(B126="",0,IF(D126="",0,IF(SUMIF(B126:B132,B126,H126:H132)=0,0,IF(E126="",AC126/SUMIF(B126:B132,B126,H126:H132),AC126/(SUMIF(B126:B132,B126,H126:H132)/E126)))))</f>
        <v>0</v>
      </c>
      <c r="AC126" s="45">
        <f t="shared" si="43"/>
        <v>0</v>
      </c>
    </row>
    <row r="127" spans="1:29" x14ac:dyDescent="0.25">
      <c r="A127" s="486"/>
      <c r="B127" s="97"/>
      <c r="C127" s="65"/>
      <c r="D127" s="88"/>
      <c r="E127" s="66"/>
      <c r="F127" s="67"/>
      <c r="G127" s="78"/>
      <c r="H127" s="73"/>
      <c r="I127" s="83"/>
      <c r="J127" s="70"/>
      <c r="K127" s="454"/>
      <c r="L127" s="454"/>
      <c r="M127" s="454"/>
      <c r="N127" s="456"/>
      <c r="O127" s="428" t="str">
        <f>IF(OR(I127="",F127=Paramétrage!$C$9,F127=Paramétrage!$C$12,F127=Paramétrage!$C$15,F127=Paramétrage!$C$18,F127=[1]Paramétrage!$C$23,F127=Paramétrage!$C$25,J127="Mut+ext"),"",ROUNDUP(H127/I127,0))</f>
        <v/>
      </c>
      <c r="P127" s="46">
        <f>IF(F127="",0,IF(OR(J127="Mut+ext",VLOOKUP(F127,Paramétrage!$C$6:$E$27,2,0)=0),0,IF(I127="","saisir capacité",G127*O127*VLOOKUP(F127,Paramétrage!$C$6:$E$27,2,0))))</f>
        <v>0</v>
      </c>
      <c r="Q127" s="69"/>
      <c r="R127" s="44">
        <f t="shared" si="41"/>
        <v>0</v>
      </c>
      <c r="S127" s="61">
        <f>IF(F127="",0,IF(ISERROR(Q127+P127*VLOOKUP(F127,Paramétrage!$C$6:$E$27,3,0))=TRUE,R127,Q127+P127*VLOOKUP(F127,Paramétrage!$C$6:$E$27,3,0)))</f>
        <v>0</v>
      </c>
      <c r="T127" s="73"/>
      <c r="U127" s="73"/>
      <c r="V127" s="73"/>
      <c r="W127" s="73"/>
      <c r="X127" s="432">
        <f t="shared" si="42"/>
        <v>0</v>
      </c>
      <c r="Y127" s="93"/>
      <c r="Z127" s="93"/>
      <c r="AA127" s="94"/>
      <c r="AB127" s="60">
        <f>IF(B127="",0,IF(D127="",0,IF(SUMIF(B127:B132,B127,H127:H132)=0,0,IF(E127="",AC127/SUMIF(B127:B132,B127,H127:H132),AC127/(SUMIF(B127:B132,B127,H127:H132)/E127)))))</f>
        <v>0</v>
      </c>
      <c r="AC127" s="45">
        <f t="shared" si="43"/>
        <v>0</v>
      </c>
    </row>
    <row r="128" spans="1:29" x14ac:dyDescent="0.25">
      <c r="A128" s="486"/>
      <c r="B128" s="96"/>
      <c r="C128" s="65"/>
      <c r="D128" s="88"/>
      <c r="E128" s="66"/>
      <c r="F128" s="67"/>
      <c r="G128" s="78"/>
      <c r="H128" s="73"/>
      <c r="I128" s="83"/>
      <c r="J128" s="70"/>
      <c r="K128" s="454"/>
      <c r="L128" s="454"/>
      <c r="M128" s="454"/>
      <c r="N128" s="456"/>
      <c r="O128" s="428" t="str">
        <f>IF(OR(I128="",F128=Paramétrage!$C$9,F128=Paramétrage!$C$12,F128=Paramétrage!$C$15,F128=Paramétrage!$C$18,F128=[1]Paramétrage!$C$23,F128=Paramétrage!$C$25,J128="Mut+ext"),"",ROUNDUP(H128/I128,0))</f>
        <v/>
      </c>
      <c r="P128" s="46">
        <f>IF(F128="",0,IF(OR(J128="Mut+ext",VLOOKUP(F128,Paramétrage!$C$6:$E$27,2,0)=0),0,IF(I128="","saisir capacité",G128*O128*VLOOKUP(F128,Paramétrage!$C$6:$E$27,2,0))))</f>
        <v>0</v>
      </c>
      <c r="Q128" s="69"/>
      <c r="R128" s="44">
        <f t="shared" si="41"/>
        <v>0</v>
      </c>
      <c r="S128" s="61">
        <f>IF(F128="",0,IF(ISERROR(Q128+P128*VLOOKUP(F128,Paramétrage!$C$6:$E$27,3,0))=TRUE,R128,Q128+P128*VLOOKUP(F128,Paramétrage!$C$6:$E$27,3,0)))</f>
        <v>0</v>
      </c>
      <c r="T128" s="73"/>
      <c r="U128" s="73"/>
      <c r="V128" s="73"/>
      <c r="W128" s="73"/>
      <c r="X128" s="432">
        <f t="shared" si="42"/>
        <v>0</v>
      </c>
      <c r="Y128" s="93"/>
      <c r="Z128" s="93"/>
      <c r="AA128" s="94"/>
      <c r="AB128" s="60">
        <f>IF(B128="",0,IF(D128="",0,IF(SUMIF(B128:B132,B128,H128:H132)=0,0,IF(E128="",AC128/SUMIF(B128:B132,B128,H128:H132),AC128/(SUMIF(B128:B132,B128,H128:H132)/E128)))))</f>
        <v>0</v>
      </c>
      <c r="AC128" s="45">
        <f t="shared" si="43"/>
        <v>0</v>
      </c>
    </row>
    <row r="129" spans="1:29" x14ac:dyDescent="0.25">
      <c r="A129" s="486"/>
      <c r="B129" s="96"/>
      <c r="C129" s="65"/>
      <c r="D129" s="88"/>
      <c r="E129" s="66"/>
      <c r="F129" s="67"/>
      <c r="G129" s="78"/>
      <c r="H129" s="73"/>
      <c r="I129" s="83"/>
      <c r="J129" s="70"/>
      <c r="K129" s="454"/>
      <c r="L129" s="454"/>
      <c r="M129" s="454"/>
      <c r="N129" s="456"/>
      <c r="O129" s="428" t="str">
        <f>IF(OR(I129="",F129=Paramétrage!$C$9,F129=Paramétrage!$C$12,F129=Paramétrage!$C$15,F129=Paramétrage!$C$18,F129=[1]Paramétrage!$C$23,F129=Paramétrage!$C$25,J129="Mut+ext"),"",ROUNDUP(H129/I129,0))</f>
        <v/>
      </c>
      <c r="P129" s="46">
        <f>IF(F129="",0,IF(OR(J129="Mut+ext",VLOOKUP(F129,Paramétrage!$C$6:$E$27,2,0)=0),0,IF(I129="","saisir capacité",G129*O129*VLOOKUP(F129,Paramétrage!$C$6:$E$27,2,0))))</f>
        <v>0</v>
      </c>
      <c r="Q129" s="69"/>
      <c r="R129" s="44">
        <f t="shared" si="41"/>
        <v>0</v>
      </c>
      <c r="S129" s="61">
        <f>IF(F129="",0,IF(ISERROR(Q129+P129*VLOOKUP(F129,Paramétrage!$C$6:$E$27,3,0))=TRUE,R129,Q129+P129*VLOOKUP(F129,Paramétrage!$C$6:$E$27,3,0)))</f>
        <v>0</v>
      </c>
      <c r="T129" s="75"/>
      <c r="U129" s="75"/>
      <c r="V129" s="75"/>
      <c r="W129" s="75"/>
      <c r="X129" s="432">
        <f t="shared" si="42"/>
        <v>0</v>
      </c>
      <c r="Y129" s="460"/>
      <c r="Z129" s="460"/>
      <c r="AA129" s="461"/>
      <c r="AB129" s="60">
        <f>IF(B129="",0,IF(D129="",0,IF(SUMIF(B129:B132,B129,H129:H132)=0,0,IF(E129="",AC129/SUMIF(B129:B132,B129,H129:H132),AC129/(SUMIF(B129:B132,B129,H129:H132)/E129)))))</f>
        <v>0</v>
      </c>
      <c r="AC129" s="45">
        <f>G129*H129</f>
        <v>0</v>
      </c>
    </row>
    <row r="130" spans="1:29" x14ac:dyDescent="0.25">
      <c r="A130" s="486"/>
      <c r="B130" s="96"/>
      <c r="C130" s="65"/>
      <c r="D130" s="88"/>
      <c r="E130" s="66"/>
      <c r="F130" s="67"/>
      <c r="G130" s="78"/>
      <c r="H130" s="73"/>
      <c r="I130" s="83"/>
      <c r="J130" s="70"/>
      <c r="K130" s="454"/>
      <c r="L130" s="454"/>
      <c r="M130" s="454"/>
      <c r="N130" s="456"/>
      <c r="O130" s="428" t="str">
        <f>IF(OR(I130="",F130=Paramétrage!$C$9,F130=Paramétrage!$C$12,F130=Paramétrage!$C$15,F130=Paramétrage!$C$18,F130=[1]Paramétrage!$C$23,F130=Paramétrage!$C$25,J130="Mut+ext"),"",ROUNDUP(H130/I130,0))</f>
        <v/>
      </c>
      <c r="P130" s="46">
        <f>IF(F130="",0,IF(OR(J130="Mut+ext",VLOOKUP(F130,Paramétrage!$C$6:$E$27,2,0)=0),0,IF(I130="","saisir capacité",G130*O130*VLOOKUP(F130,Paramétrage!$C$6:$E$27,2,0))))</f>
        <v>0</v>
      </c>
      <c r="Q130" s="69"/>
      <c r="R130" s="44">
        <f t="shared" si="41"/>
        <v>0</v>
      </c>
      <c r="S130" s="61">
        <f>IF(F130="",0,IF(ISERROR(Q130+P130*VLOOKUP(F130,Paramétrage!$C$6:$E$27,3,0))=TRUE,R130,Q130+P130*VLOOKUP(F130,Paramétrage!$C$6:$E$27,3,0)))</f>
        <v>0</v>
      </c>
      <c r="T130" s="74"/>
      <c r="U130" s="74"/>
      <c r="V130" s="74"/>
      <c r="W130" s="74"/>
      <c r="X130" s="432">
        <f t="shared" si="42"/>
        <v>0</v>
      </c>
      <c r="Y130" s="460"/>
      <c r="Z130" s="460"/>
      <c r="AA130" s="461"/>
      <c r="AB130" s="60">
        <f>IF(B130="",0,IF(D130="",0,IF(SUMIF(B130:B132,B130,H130:H132)=0,0,IF(E130="",AC130/SUMIF(B130:B132,B130,H130:H132),AC130/(SUMIF(B130:B132,B130,H130:H132)/E130)))))</f>
        <v>0</v>
      </c>
      <c r="AC130" s="45">
        <f>G130*H130</f>
        <v>0</v>
      </c>
    </row>
    <row r="131" spans="1:29" x14ac:dyDescent="0.25">
      <c r="A131" s="486"/>
      <c r="B131" s="96"/>
      <c r="C131" s="65"/>
      <c r="D131" s="88"/>
      <c r="E131" s="66"/>
      <c r="F131" s="67"/>
      <c r="G131" s="78"/>
      <c r="H131" s="73"/>
      <c r="I131" s="83"/>
      <c r="J131" s="70"/>
      <c r="K131" s="454"/>
      <c r="L131" s="454"/>
      <c r="M131" s="454"/>
      <c r="N131" s="456"/>
      <c r="O131" s="428" t="str">
        <f>IF(OR(I131="",F131=Paramétrage!$C$9,F131=Paramétrage!$C$12,F131=Paramétrage!$C$15,F131=Paramétrage!$C$18,F131=[1]Paramétrage!$C$23,F131=Paramétrage!$C$25,J131="Mut+ext"),"",ROUNDUP(H131/I131,0))</f>
        <v/>
      </c>
      <c r="P131" s="46">
        <f>IF(F131="",0,IF(OR(J131="Mut+ext",VLOOKUP(F131,Paramétrage!$C$6:$E$27,2,0)=0),0,IF(I131="","saisir capacité",G131*O131*VLOOKUP(F131,Paramétrage!$C$6:$E$27,2,0))))</f>
        <v>0</v>
      </c>
      <c r="Q131" s="69"/>
      <c r="R131" s="44">
        <f t="shared" si="41"/>
        <v>0</v>
      </c>
      <c r="S131" s="61">
        <f>IF(F131="",0,IF(ISERROR(Q131+P131*VLOOKUP(F131,Paramétrage!$C$6:$E$27,3,0))=TRUE,R131,Q131+P131*VLOOKUP(F131,Paramétrage!$C$6:$E$27,3,0)))</f>
        <v>0</v>
      </c>
      <c r="T131" s="73"/>
      <c r="U131" s="73"/>
      <c r="V131" s="73"/>
      <c r="W131" s="73"/>
      <c r="X131" s="432">
        <f t="shared" si="42"/>
        <v>0</v>
      </c>
      <c r="Y131" s="460"/>
      <c r="Z131" s="460"/>
      <c r="AA131" s="461"/>
      <c r="AB131" s="60">
        <f>IF(B131="",0,IF(D131="",0,IF(SUMIF(B131:B132,B131,H131:H132)=0,0,IF(E131="",AC131/SUMIF(B131:B132,B131,H131:H132),AC131/(SUMIF(B131:B132,B131,H131:H132)/E131)))))</f>
        <v>0</v>
      </c>
      <c r="AC131" s="45">
        <f>G131*H131</f>
        <v>0</v>
      </c>
    </row>
    <row r="132" spans="1:29" ht="16.2" thickBot="1" x14ac:dyDescent="0.3">
      <c r="A132" s="485"/>
      <c r="B132" s="98"/>
      <c r="C132" s="49"/>
      <c r="D132" s="49"/>
      <c r="E132" s="50"/>
      <c r="F132" s="47"/>
      <c r="G132" s="85">
        <f>IF(SUM(H112:H131)=0,0,SUMPRODUCT(G112:G131,H112:H131)/SUM(H112:H131))</f>
        <v>0</v>
      </c>
      <c r="H132" s="79"/>
      <c r="I132" s="84"/>
      <c r="J132" s="90"/>
      <c r="K132" s="107"/>
      <c r="L132" s="107"/>
      <c r="M132" s="107"/>
      <c r="N132" s="108"/>
      <c r="O132" s="51"/>
      <c r="P132" s="109">
        <f>SUM(P112:P131)</f>
        <v>0</v>
      </c>
      <c r="Q132" s="47">
        <f>SUM(Q112:Q131)</f>
        <v>0</v>
      </c>
      <c r="R132" s="52">
        <f t="shared" ref="R132" si="44">P132+Q132</f>
        <v>0</v>
      </c>
      <c r="S132" s="110">
        <f>SUM(S112:S131)</f>
        <v>0</v>
      </c>
      <c r="T132" s="417"/>
      <c r="U132" s="417"/>
      <c r="V132" s="417"/>
      <c r="W132" s="417"/>
      <c r="X132" s="435"/>
      <c r="Y132" s="111"/>
      <c r="Z132" s="112"/>
      <c r="AA132" s="113"/>
      <c r="AB132" s="114">
        <f>SUM(AB112:AB131)</f>
        <v>0</v>
      </c>
      <c r="AC132" s="59">
        <f>SUM(AC112:AC131)</f>
        <v>0</v>
      </c>
    </row>
    <row r="133" spans="1:29" ht="16.2" thickBot="1" x14ac:dyDescent="0.3">
      <c r="A133" s="91"/>
      <c r="B133" s="53"/>
      <c r="C133" s="53"/>
      <c r="D133" s="53"/>
      <c r="E133" s="53"/>
      <c r="F133" s="54"/>
      <c r="G133" s="86">
        <f>ROUND(G27+G48+G69+G90+G132,1)</f>
        <v>0</v>
      </c>
      <c r="H133" s="55"/>
      <c r="I133" s="56"/>
      <c r="J133" s="55"/>
      <c r="K133" s="55"/>
      <c r="L133" s="55"/>
      <c r="M133" s="55"/>
      <c r="N133" s="71"/>
      <c r="O133" s="82"/>
      <c r="P133" s="118">
        <f>P27+P48+P69+P90+P132</f>
        <v>202</v>
      </c>
      <c r="Q133" s="118">
        <f t="shared" ref="Q133:S133" si="45">Q27+Q48+Q69+Q90+Q132</f>
        <v>0</v>
      </c>
      <c r="R133" s="118">
        <f t="shared" si="45"/>
        <v>202</v>
      </c>
      <c r="S133" s="57">
        <f t="shared" si="45"/>
        <v>202</v>
      </c>
      <c r="T133" s="429">
        <f>SUMIF($F$7:$F$132,"cm",T$7:T$132)*AB10+SUMIF($F$7:$F$132,"td",T$7:T$132)+SUMIF($F$7:$F$132,"TP",T$7:T$132)+SUMIF($F$7:$F$132,"foad",T$7:T$132)+SUMIF($F$7:$F$132,"METD",T$7:T$132)+SUMIF($F$7:$F$132,"PTTD",T$7:T$132)</f>
        <v>131</v>
      </c>
      <c r="U133" s="429">
        <f t="shared" ref="U133:X133" si="46">SUMIF($F$7:$F$132,"cm",U$7:U$132)*AC10+SUMIF($F$7:$F$132,"td",U$7:U$132)+SUMIF($F$7:$F$132,"TP",U$7:U$132)+SUMIF($F$7:$F$132,"foad",U$7:U$132)+SUMIF($F$7:$F$132,"METD",U$7:U$132)+SUMIF($F$7:$F$132,"PTTD",U$7:U$132)</f>
        <v>15</v>
      </c>
      <c r="V133" s="429">
        <f t="shared" si="46"/>
        <v>56</v>
      </c>
      <c r="W133" s="429">
        <f t="shared" si="46"/>
        <v>0</v>
      </c>
      <c r="X133" s="429">
        <f t="shared" si="46"/>
        <v>202</v>
      </c>
    </row>
    <row r="134" spans="1:29" ht="18" customHeight="1" x14ac:dyDescent="0.25">
      <c r="L134" s="58"/>
      <c r="T134" s="429">
        <f>SUMIF($F$7:$F$132,"PTAU",T$7:T$132)+SUMIF($F$7:$F$132,"AFEST",T$7:T$132)+SUMIF($F$7:$F$132,"MEAU",T$7:T$132)+SUMIF($F$7:$F$132,"ST",T$7:T$132)+SUMIF($F$7:$F$132,"ENT",T$7:T$132)</f>
        <v>0</v>
      </c>
      <c r="U134" s="429">
        <f t="shared" ref="U134:X134" si="47">SUMIF($F$7:$F$132,"PTAU",U$7:U$132)+SUMIF($F$7:$F$132,"AFEST",U$7:U$132)+SUMIF($F$7:$F$132,"MEAU",U$7:U$132)+SUMIF($F$7:$F$132,"ST",U$7:U$132)+SUMIF($F$7:$F$132,"ENT",U$7:U$132)</f>
        <v>0</v>
      </c>
      <c r="V134" s="429">
        <f t="shared" si="47"/>
        <v>0</v>
      </c>
      <c r="W134" s="429">
        <f t="shared" si="47"/>
        <v>0</v>
      </c>
      <c r="X134" s="429">
        <f t="shared" si="47"/>
        <v>0</v>
      </c>
    </row>
    <row r="135" spans="1:29" x14ac:dyDescent="0.25">
      <c r="T135" s="429"/>
      <c r="U135" s="429"/>
      <c r="V135" s="429"/>
      <c r="W135" s="429"/>
      <c r="X135" s="429">
        <f>X132+X111+X90+X48+X69+X27</f>
        <v>0</v>
      </c>
    </row>
  </sheetData>
  <sheetProtection formatCells="0" formatRows="0" autoFilter="0"/>
  <mergeCells count="243">
    <mergeCell ref="K124:N124"/>
    <mergeCell ref="K125:N125"/>
    <mergeCell ref="K126:N126"/>
    <mergeCell ref="K127:N127"/>
    <mergeCell ref="K128:N128"/>
    <mergeCell ref="A112:A132"/>
    <mergeCell ref="A7:A27"/>
    <mergeCell ref="A28:A48"/>
    <mergeCell ref="A49:A69"/>
    <mergeCell ref="A70:A90"/>
    <mergeCell ref="A91:A111"/>
    <mergeCell ref="K114:N114"/>
    <mergeCell ref="K115:N115"/>
    <mergeCell ref="K116:N116"/>
    <mergeCell ref="K110:N110"/>
    <mergeCell ref="K50:N50"/>
    <mergeCell ref="K63:N63"/>
    <mergeCell ref="K117:N117"/>
    <mergeCell ref="K118:N118"/>
    <mergeCell ref="K119:N119"/>
    <mergeCell ref="K120:N120"/>
    <mergeCell ref="K121:N121"/>
    <mergeCell ref="K122:N122"/>
    <mergeCell ref="K123:N123"/>
    <mergeCell ref="AB5:AB6"/>
    <mergeCell ref="AC5:AC6"/>
    <mergeCell ref="K28:N28"/>
    <mergeCell ref="K42:N42"/>
    <mergeCell ref="K43:N43"/>
    <mergeCell ref="K44:N44"/>
    <mergeCell ref="K45:N45"/>
    <mergeCell ref="K46:N46"/>
    <mergeCell ref="K47:N47"/>
    <mergeCell ref="Y10:AA10"/>
    <mergeCell ref="Y23:AA23"/>
    <mergeCell ref="Y24:AA24"/>
    <mergeCell ref="Y25:AA25"/>
    <mergeCell ref="Y19:AA19"/>
    <mergeCell ref="Y20:AA20"/>
    <mergeCell ref="Y21:AA21"/>
    <mergeCell ref="Y22:AA22"/>
    <mergeCell ref="K9:N9"/>
    <mergeCell ref="K10:N10"/>
    <mergeCell ref="K23:N23"/>
    <mergeCell ref="K8:N8"/>
    <mergeCell ref="Y26:AA26"/>
    <mergeCell ref="Y28:AA28"/>
    <mergeCell ref="Y29:AA29"/>
    <mergeCell ref="K108:N108"/>
    <mergeCell ref="K109:N109"/>
    <mergeCell ref="K113:N113"/>
    <mergeCell ref="K92:N92"/>
    <mergeCell ref="K105:N105"/>
    <mergeCell ref="K106:N106"/>
    <mergeCell ref="K107:N107"/>
    <mergeCell ref="K72:N72"/>
    <mergeCell ref="K88:N88"/>
    <mergeCell ref="K89:N89"/>
    <mergeCell ref="K85:N85"/>
    <mergeCell ref="K75:N75"/>
    <mergeCell ref="K76:N76"/>
    <mergeCell ref="K77:N77"/>
    <mergeCell ref="K78:N78"/>
    <mergeCell ref="K79:N79"/>
    <mergeCell ref="K80:N80"/>
    <mergeCell ref="K81:N81"/>
    <mergeCell ref="K82:N82"/>
    <mergeCell ref="K83:N83"/>
    <mergeCell ref="K96:N96"/>
    <mergeCell ref="K129:N129"/>
    <mergeCell ref="K130:N130"/>
    <mergeCell ref="K131:N131"/>
    <mergeCell ref="B5:B6"/>
    <mergeCell ref="K70:N70"/>
    <mergeCell ref="K91:N91"/>
    <mergeCell ref="K112:N112"/>
    <mergeCell ref="K87:N87"/>
    <mergeCell ref="K68:N68"/>
    <mergeCell ref="K66:N66"/>
    <mergeCell ref="K49:N49"/>
    <mergeCell ref="K24:N24"/>
    <mergeCell ref="K25:N25"/>
    <mergeCell ref="K67:N67"/>
    <mergeCell ref="K64:N64"/>
    <mergeCell ref="K65:N65"/>
    <mergeCell ref="K26:N26"/>
    <mergeCell ref="K29:N29"/>
    <mergeCell ref="K30:N30"/>
    <mergeCell ref="J5:J6"/>
    <mergeCell ref="C5:C6"/>
    <mergeCell ref="D5:D6"/>
    <mergeCell ref="E5:E6"/>
    <mergeCell ref="K5:N6"/>
    <mergeCell ref="F5:F6"/>
    <mergeCell ref="H5:H6"/>
    <mergeCell ref="I5:I6"/>
    <mergeCell ref="K7:N7"/>
    <mergeCell ref="K22:N22"/>
    <mergeCell ref="Y5:AA6"/>
    <mergeCell ref="Y7:AA7"/>
    <mergeCell ref="Y8:AA8"/>
    <mergeCell ref="Y9:AA9"/>
    <mergeCell ref="Y11:AA11"/>
    <mergeCell ref="Y12:AA12"/>
    <mergeCell ref="Y16:AA16"/>
    <mergeCell ref="Y17:AA17"/>
    <mergeCell ref="Y18:AA18"/>
    <mergeCell ref="Y13:AA13"/>
    <mergeCell ref="Y14:AA14"/>
    <mergeCell ref="Y15:AA15"/>
    <mergeCell ref="Y30:AA30"/>
    <mergeCell ref="Y38:AA38"/>
    <mergeCell ref="Y39:AA39"/>
    <mergeCell ref="Y40:AA40"/>
    <mergeCell ref="Y41:AA41"/>
    <mergeCell ref="Y31:AA31"/>
    <mergeCell ref="Y32:AA32"/>
    <mergeCell ref="Y35:AA35"/>
    <mergeCell ref="Y36:AA36"/>
    <mergeCell ref="Y37:AA37"/>
    <mergeCell ref="Y33:AA33"/>
    <mergeCell ref="Y34:AA34"/>
    <mergeCell ref="Y75:AA75"/>
    <mergeCell ref="Y76:AA76"/>
    <mergeCell ref="Y77:AA77"/>
    <mergeCell ref="Y78:AA78"/>
    <mergeCell ref="Y79:AA79"/>
    <mergeCell ref="Y80:AA80"/>
    <mergeCell ref="Y81:AA81"/>
    <mergeCell ref="Y82:AA82"/>
    <mergeCell ref="Y42:AA42"/>
    <mergeCell ref="Y43:AA43"/>
    <mergeCell ref="Y44:AA44"/>
    <mergeCell ref="Y45:AA45"/>
    <mergeCell ref="Y46:AA46"/>
    <mergeCell ref="Y47:AA47"/>
    <mergeCell ref="Y49:AA49"/>
    <mergeCell ref="Y50:AA50"/>
    <mergeCell ref="Y63:AA63"/>
    <mergeCell ref="Y64:AA64"/>
    <mergeCell ref="Y65:AA65"/>
    <mergeCell ref="Y66:AA66"/>
    <mergeCell ref="Y67:AA67"/>
    <mergeCell ref="Y68:AA68"/>
    <mergeCell ref="Y70:AA70"/>
    <mergeCell ref="Y105:AA105"/>
    <mergeCell ref="Y106:AA106"/>
    <mergeCell ref="Y107:AA107"/>
    <mergeCell ref="Y108:AA108"/>
    <mergeCell ref="Y109:AA109"/>
    <mergeCell ref="Y110:AA110"/>
    <mergeCell ref="Y112:AA112"/>
    <mergeCell ref="Y113:AA113"/>
    <mergeCell ref="Y129:AA129"/>
    <mergeCell ref="Y130:AA130"/>
    <mergeCell ref="Y131:AA131"/>
    <mergeCell ref="K11:N11"/>
    <mergeCell ref="K12:N12"/>
    <mergeCell ref="K16:N16"/>
    <mergeCell ref="K17:N17"/>
    <mergeCell ref="K18:N18"/>
    <mergeCell ref="K19:N19"/>
    <mergeCell ref="K20:N20"/>
    <mergeCell ref="K21:N21"/>
    <mergeCell ref="K13:N13"/>
    <mergeCell ref="K14:N14"/>
    <mergeCell ref="K15:N15"/>
    <mergeCell ref="K31:N31"/>
    <mergeCell ref="K32:N32"/>
    <mergeCell ref="K33:N33"/>
    <mergeCell ref="K34:N34"/>
    <mergeCell ref="K35:N35"/>
    <mergeCell ref="K36:N36"/>
    <mergeCell ref="K37:N37"/>
    <mergeCell ref="K38:N38"/>
    <mergeCell ref="K39:N39"/>
    <mergeCell ref="K40:N40"/>
    <mergeCell ref="K41:N41"/>
    <mergeCell ref="K51:N51"/>
    <mergeCell ref="Y51:AA51"/>
    <mergeCell ref="K52:N52"/>
    <mergeCell ref="Y52:AA52"/>
    <mergeCell ref="K53:N53"/>
    <mergeCell ref="Y53:AA53"/>
    <mergeCell ref="K54:N54"/>
    <mergeCell ref="Y54:AA54"/>
    <mergeCell ref="K55:N55"/>
    <mergeCell ref="Y55:AA55"/>
    <mergeCell ref="K56:N56"/>
    <mergeCell ref="Y56:AA56"/>
    <mergeCell ref="K57:N57"/>
    <mergeCell ref="Y57:AA57"/>
    <mergeCell ref="K58:N58"/>
    <mergeCell ref="Y58:AA58"/>
    <mergeCell ref="K59:N59"/>
    <mergeCell ref="Y59:AA59"/>
    <mergeCell ref="K60:N60"/>
    <mergeCell ref="Y60:AA60"/>
    <mergeCell ref="K61:N61"/>
    <mergeCell ref="Y61:AA61"/>
    <mergeCell ref="K62:N62"/>
    <mergeCell ref="Y62:AA62"/>
    <mergeCell ref="K73:N73"/>
    <mergeCell ref="Y73:AA73"/>
    <mergeCell ref="K74:N74"/>
    <mergeCell ref="Y74:AA74"/>
    <mergeCell ref="Y71:AA71"/>
    <mergeCell ref="Y72:AA72"/>
    <mergeCell ref="K71:N71"/>
    <mergeCell ref="Y83:AA83"/>
    <mergeCell ref="K84:N84"/>
    <mergeCell ref="Y84:AA84"/>
    <mergeCell ref="K93:N93"/>
    <mergeCell ref="Y93:AA93"/>
    <mergeCell ref="K94:N94"/>
    <mergeCell ref="Y94:AA94"/>
    <mergeCell ref="K95:N95"/>
    <mergeCell ref="Y95:AA95"/>
    <mergeCell ref="Y85:AA85"/>
    <mergeCell ref="Y86:AA86"/>
    <mergeCell ref="Y87:AA87"/>
    <mergeCell ref="Y88:AA88"/>
    <mergeCell ref="Y89:AA89"/>
    <mergeCell ref="Y91:AA91"/>
    <mergeCell ref="Y92:AA92"/>
    <mergeCell ref="K86:N86"/>
    <mergeCell ref="Y96:AA96"/>
    <mergeCell ref="K97:N97"/>
    <mergeCell ref="Y97:AA97"/>
    <mergeCell ref="K103:N103"/>
    <mergeCell ref="Y103:AA103"/>
    <mergeCell ref="K104:N104"/>
    <mergeCell ref="Y104:AA104"/>
    <mergeCell ref="K102:N102"/>
    <mergeCell ref="Y102:AA102"/>
    <mergeCell ref="K98:N98"/>
    <mergeCell ref="Y98:AA98"/>
    <mergeCell ref="K99:N99"/>
    <mergeCell ref="Y99:AA99"/>
    <mergeCell ref="K100:N100"/>
    <mergeCell ref="Y100:AA100"/>
    <mergeCell ref="K101:N101"/>
    <mergeCell ref="Y101:AA101"/>
  </mergeCells>
  <conditionalFormatting sqref="Y7">
    <cfRule type="expression" dxfId="74" priority="340">
      <formula>$F7=#REF!</formula>
    </cfRule>
    <cfRule type="expression" dxfId="73" priority="341">
      <formula>$F7=#REF!</formula>
    </cfRule>
    <cfRule type="expression" dxfId="72" priority="342">
      <formula>$F7=#REF!</formula>
    </cfRule>
    <cfRule type="expression" dxfId="71" priority="343">
      <formula>$F7=#REF!</formula>
    </cfRule>
  </conditionalFormatting>
  <conditionalFormatting sqref="Y8:Y10 Y24:Y26">
    <cfRule type="expression" dxfId="70" priority="306">
      <formula>$F8=#REF!</formula>
    </cfRule>
    <cfRule type="expression" dxfId="69" priority="307">
      <formula>$F8=#REF!</formula>
    </cfRule>
    <cfRule type="expression" dxfId="68" priority="308">
      <formula>$F8=#REF!</formula>
    </cfRule>
    <cfRule type="expression" dxfId="67" priority="309">
      <formula>$F8=#REF!</formula>
    </cfRule>
  </conditionalFormatting>
  <conditionalFormatting sqref="Y28:Y29 Y42:Y47">
    <cfRule type="expression" dxfId="66" priority="292">
      <formula>$F28=#REF!</formula>
    </cfRule>
    <cfRule type="expression" dxfId="65" priority="293">
      <formula>$F28=#REF!</formula>
    </cfRule>
    <cfRule type="expression" dxfId="64" priority="294">
      <formula>$F28=#REF!</formula>
    </cfRule>
    <cfRule type="expression" dxfId="63" priority="295">
      <formula>$F28=#REF!</formula>
    </cfRule>
  </conditionalFormatting>
  <conditionalFormatting sqref="Y49:Y68">
    <cfRule type="expression" dxfId="62" priority="278">
      <formula>$F49=#REF!</formula>
    </cfRule>
    <cfRule type="expression" dxfId="61" priority="279">
      <formula>$F49=#REF!</formula>
    </cfRule>
    <cfRule type="expression" dxfId="60" priority="280">
      <formula>$F49=#REF!</formula>
    </cfRule>
    <cfRule type="expression" dxfId="59" priority="281">
      <formula>$F49=#REF!</formula>
    </cfRule>
  </conditionalFormatting>
  <conditionalFormatting sqref="Y70:Y72 Y86:Y89">
    <cfRule type="expression" dxfId="58" priority="264">
      <formula>$F70=#REF!</formula>
    </cfRule>
    <cfRule type="expression" dxfId="57" priority="265">
      <formula>$F70=#REF!</formula>
    </cfRule>
    <cfRule type="expression" dxfId="56" priority="266">
      <formula>$F70=#REF!</formula>
    </cfRule>
    <cfRule type="expression" dxfId="55" priority="267">
      <formula>$F70=#REF!</formula>
    </cfRule>
  </conditionalFormatting>
  <conditionalFormatting sqref="Y91:Y110">
    <cfRule type="expression" dxfId="54" priority="250">
      <formula>$F91=#REF!</formula>
    </cfRule>
    <cfRule type="expression" dxfId="53" priority="251">
      <formula>$F91=#REF!</formula>
    </cfRule>
    <cfRule type="expression" dxfId="52" priority="252">
      <formula>$F91=#REF!</formula>
    </cfRule>
    <cfRule type="expression" dxfId="51" priority="253">
      <formula>$F91=#REF!</formula>
    </cfRule>
  </conditionalFormatting>
  <conditionalFormatting sqref="E10:E26 E91:E110">
    <cfRule type="expression" dxfId="50" priority="60">
      <formula>$D10="Obligatoire"</formula>
    </cfRule>
  </conditionalFormatting>
  <conditionalFormatting sqref="J91:J110 J133">
    <cfRule type="cellIs" dxfId="49" priority="59" operator="equal">
      <formula>"Mut+ext"</formula>
    </cfRule>
  </conditionalFormatting>
  <conditionalFormatting sqref="E111">
    <cfRule type="expression" dxfId="48" priority="89">
      <formula>$D111="Obligatoire"</formula>
    </cfRule>
  </conditionalFormatting>
  <conditionalFormatting sqref="E90">
    <cfRule type="expression" dxfId="47" priority="88">
      <formula>$D90="Obligatoire"</formula>
    </cfRule>
  </conditionalFormatting>
  <conditionalFormatting sqref="E69">
    <cfRule type="expression" dxfId="46" priority="87">
      <formula>$D69="Obligatoire"</formula>
    </cfRule>
  </conditionalFormatting>
  <conditionalFormatting sqref="E48">
    <cfRule type="expression" dxfId="45" priority="86">
      <formula>$D48="Obligatoire"</formula>
    </cfRule>
  </conditionalFormatting>
  <conditionalFormatting sqref="E27">
    <cfRule type="expression" dxfId="44" priority="85">
      <formula>$D27="Obligatoire"</formula>
    </cfRule>
  </conditionalFormatting>
  <conditionalFormatting sqref="E132">
    <cfRule type="expression" dxfId="43" priority="80">
      <formula>$D132="Obligatoire"</formula>
    </cfRule>
  </conditionalFormatting>
  <conditionalFormatting sqref="J27 J48 J69 J90 J111 J132">
    <cfRule type="cellIs" dxfId="42" priority="74" operator="equal">
      <formula>"Mut+ext"</formula>
    </cfRule>
  </conditionalFormatting>
  <conditionalFormatting sqref="E7:E8">
    <cfRule type="expression" dxfId="41" priority="73">
      <formula>$D7="Obligatoire"</formula>
    </cfRule>
  </conditionalFormatting>
  <conditionalFormatting sqref="J7:J26">
    <cfRule type="cellIs" dxfId="40" priority="71" operator="equal">
      <formula>"Mut+ext"</formula>
    </cfRule>
  </conditionalFormatting>
  <conditionalFormatting sqref="E28:E47">
    <cfRule type="expression" dxfId="39" priority="70">
      <formula>$D28="Obligatoire"</formula>
    </cfRule>
  </conditionalFormatting>
  <conditionalFormatting sqref="J28:J47">
    <cfRule type="cellIs" dxfId="38" priority="69" operator="equal">
      <formula>"Mut+ext"</formula>
    </cfRule>
  </conditionalFormatting>
  <conditionalFormatting sqref="E49:E68">
    <cfRule type="expression" dxfId="37" priority="68">
      <formula>$D49="Obligatoire"</formula>
    </cfRule>
  </conditionalFormatting>
  <conditionalFormatting sqref="J49:J68">
    <cfRule type="cellIs" dxfId="36" priority="67" operator="equal">
      <formula>"Mut+ext"</formula>
    </cfRule>
  </conditionalFormatting>
  <conditionalFormatting sqref="E70:E72 E86:E89">
    <cfRule type="expression" dxfId="35" priority="66">
      <formula>$D70="Obligatoire"</formula>
    </cfRule>
  </conditionalFormatting>
  <conditionalFormatting sqref="J70:J72 J86:J89">
    <cfRule type="cellIs" dxfId="34" priority="65" operator="equal">
      <formula>"Mut+ext"</formula>
    </cfRule>
  </conditionalFormatting>
  <conditionalFormatting sqref="Y11:Y23">
    <cfRule type="expression" dxfId="33" priority="26">
      <formula>$F11=#REF!</formula>
    </cfRule>
    <cfRule type="expression" dxfId="32" priority="27">
      <formula>$F11=#REF!</formula>
    </cfRule>
    <cfRule type="expression" dxfId="31" priority="28">
      <formula>$F11=#REF!</formula>
    </cfRule>
    <cfRule type="expression" dxfId="30" priority="29">
      <formula>$F11=#REF!</formula>
    </cfRule>
  </conditionalFormatting>
  <conditionalFormatting sqref="Y30 Y38:Y41">
    <cfRule type="expression" dxfId="29" priority="22">
      <formula>$F30=#REF!</formula>
    </cfRule>
    <cfRule type="expression" dxfId="28" priority="23">
      <formula>$F30=#REF!</formula>
    </cfRule>
    <cfRule type="expression" dxfId="27" priority="24">
      <formula>$F30=#REF!</formula>
    </cfRule>
    <cfRule type="expression" dxfId="26" priority="25">
      <formula>$F30=#REF!</formula>
    </cfRule>
  </conditionalFormatting>
  <conditionalFormatting sqref="Y31:Y32 Y35:Y37">
    <cfRule type="expression" dxfId="25" priority="14">
      <formula>$F31=#REF!</formula>
    </cfRule>
    <cfRule type="expression" dxfId="24" priority="15">
      <formula>$F31=#REF!</formula>
    </cfRule>
    <cfRule type="expression" dxfId="23" priority="16">
      <formula>$F31=#REF!</formula>
    </cfRule>
    <cfRule type="expression" dxfId="22" priority="17">
      <formula>$F31=#REF!</formula>
    </cfRule>
  </conditionalFormatting>
  <conditionalFormatting sqref="Y33:Y34">
    <cfRule type="expression" dxfId="21" priority="10">
      <formula>$F33=#REF!</formula>
    </cfRule>
    <cfRule type="expression" dxfId="20" priority="11">
      <formula>$F33=#REF!</formula>
    </cfRule>
    <cfRule type="expression" dxfId="19" priority="12">
      <formula>$F33=#REF!</formula>
    </cfRule>
    <cfRule type="expression" dxfId="18" priority="13">
      <formula>$F33=#REF!</formula>
    </cfRule>
  </conditionalFormatting>
  <conditionalFormatting sqref="Y73:Y85">
    <cfRule type="expression" dxfId="17" priority="6">
      <formula>$F73=#REF!</formula>
    </cfRule>
    <cfRule type="expression" dxfId="16" priority="7">
      <formula>$F73=#REF!</formula>
    </cfRule>
    <cfRule type="expression" dxfId="15" priority="8">
      <formula>$F73=#REF!</formula>
    </cfRule>
    <cfRule type="expression" dxfId="14" priority="9">
      <formula>$F73=#REF!</formula>
    </cfRule>
  </conditionalFormatting>
  <conditionalFormatting sqref="E73:E85">
    <cfRule type="expression" dxfId="13" priority="5">
      <formula>$D73="Obligatoire"</formula>
    </cfRule>
  </conditionalFormatting>
  <conditionalFormatting sqref="J73:J85">
    <cfRule type="cellIs" dxfId="12" priority="4" operator="equal">
      <formula>"Mut+ext"</formula>
    </cfRule>
  </conditionalFormatting>
  <conditionalFormatting sqref="E112:E131">
    <cfRule type="expression" dxfId="11" priority="3">
      <formula>$D112="Obligatoire"</formula>
    </cfRule>
  </conditionalFormatting>
  <conditionalFormatting sqref="J112:J131">
    <cfRule type="cellIs" dxfId="10" priority="2" operator="equal">
      <formula>"Mut+ext"</formula>
    </cfRule>
  </conditionalFormatting>
  <conditionalFormatting sqref="E9">
    <cfRule type="expression" dxfId="9" priority="1">
      <formula>$D9="Obligatoire"</formula>
    </cfRule>
  </conditionalFormatting>
  <dataValidations count="5">
    <dataValidation type="list" allowBlank="1" showInputMessage="1" showErrorMessage="1" sqref="I28:I47 I70:I89 I112:I131 I49:I68 I91:I110 I7:I26">
      <formula1>"300,40,35,30,25,24"</formula1>
    </dataValidation>
    <dataValidation type="list" allowBlank="1" showInputMessage="1" showErrorMessage="1" sqref="F132 F111 F27 F48">
      <formula1>#REF!</formula1>
    </dataValidation>
    <dataValidation type="list" allowBlank="1" showInputMessage="1" showErrorMessage="1" sqref="E91:E132 E70:E89 E7:E68">
      <formula1>"1,2,3,4"</formula1>
    </dataValidation>
    <dataValidation type="list" allowBlank="1" showInputMessage="1" showErrorMessage="1" sqref="D91:D132 D70:D89 D7:D68">
      <formula1>"Obligatoire,Option"</formula1>
    </dataValidation>
    <dataValidation type="list" allowBlank="1" showInputMessage="1" showErrorMessage="1" sqref="J7:J26 J28:J47 J49:J68 J70:J89 J91:J110 J112:J131">
      <formula1>"Non,Mut,Mut+ext"</formula1>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Paramétrage!$C$6:$C$27</xm:f>
          </x14:formula1>
          <xm:sqref>F49:F68 F112:F131 F91:F110 F70:F89 F7:F26 F28:F47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zoomScale="85" zoomScaleNormal="85" workbookViewId="0">
      <pane ySplit="11" topLeftCell="A12" activePane="bottomLeft" state="frozen"/>
      <selection pane="bottomLeft" activeCell="F7" sqref="F7"/>
    </sheetView>
  </sheetViews>
  <sheetFormatPr baseColWidth="10" defaultColWidth="11.5546875" defaultRowHeight="13.8" x14ac:dyDescent="0.25"/>
  <cols>
    <col min="1" max="1" width="3.109375" style="121" customWidth="1"/>
    <col min="2" max="2" width="12.6640625" style="121" customWidth="1"/>
    <col min="3" max="3" width="24" style="121" customWidth="1"/>
    <col min="4" max="6" width="11.5546875" style="121"/>
    <col min="7" max="7" width="11.44140625" style="121" customWidth="1"/>
    <col min="8" max="11" width="11.5546875" style="121"/>
    <col min="12" max="12" width="22.33203125" style="121" customWidth="1"/>
    <col min="13" max="13" width="11.5546875" style="121" customWidth="1"/>
    <col min="14" max="14" width="24.33203125" style="121" customWidth="1"/>
    <col min="15" max="15" width="9.88671875" style="121" customWidth="1"/>
    <col min="16" max="17" width="6.6640625" style="121" customWidth="1"/>
    <col min="18" max="16384" width="11.5546875" style="121"/>
  </cols>
  <sheetData>
    <row r="1" spans="1:17" ht="7.2" customHeight="1" thickBot="1" x14ac:dyDescent="0.3">
      <c r="H1" s="122"/>
      <c r="I1" s="123"/>
      <c r="J1" s="124"/>
      <c r="K1" s="122"/>
      <c r="L1" s="122"/>
    </row>
    <row r="2" spans="1:17" ht="28.2" customHeight="1" thickBot="1" x14ac:dyDescent="0.3">
      <c r="A2" s="125"/>
      <c r="B2" s="492" t="s">
        <v>119</v>
      </c>
      <c r="C2" s="493"/>
      <c r="D2" s="493"/>
      <c r="E2" s="493"/>
      <c r="F2" s="493"/>
      <c r="G2" s="493"/>
      <c r="H2" s="493"/>
      <c r="I2" s="493"/>
      <c r="J2" s="493"/>
      <c r="K2" s="493"/>
      <c r="L2" s="493"/>
      <c r="M2" s="494"/>
    </row>
    <row r="3" spans="1:17" ht="12.6" customHeight="1" x14ac:dyDescent="0.25">
      <c r="F3" s="122"/>
      <c r="G3" s="122"/>
      <c r="H3" s="122"/>
      <c r="I3" s="122"/>
      <c r="J3" s="124"/>
      <c r="K3" s="122"/>
      <c r="L3" s="122"/>
    </row>
    <row r="4" spans="1:17" ht="22.2" customHeight="1" x14ac:dyDescent="0.25">
      <c r="C4" s="126" t="s">
        <v>120</v>
      </c>
      <c r="D4" s="489" t="s">
        <v>121</v>
      </c>
      <c r="E4" s="491"/>
      <c r="G4" s="126" t="s">
        <v>122</v>
      </c>
      <c r="H4" s="489" t="s">
        <v>123</v>
      </c>
      <c r="I4" s="490"/>
      <c r="J4" s="490"/>
      <c r="K4" s="491"/>
    </row>
    <row r="5" spans="1:17" ht="22.2" customHeight="1" x14ac:dyDescent="0.25">
      <c r="C5" s="127" t="s">
        <v>124</v>
      </c>
      <c r="D5" s="489" t="s">
        <v>125</v>
      </c>
      <c r="E5" s="491"/>
      <c r="G5" s="126" t="s">
        <v>126</v>
      </c>
      <c r="H5" s="489" t="s">
        <v>127</v>
      </c>
      <c r="I5" s="490"/>
      <c r="J5" s="490"/>
      <c r="K5" s="491"/>
    </row>
    <row r="6" spans="1:17" ht="22.2" customHeight="1" x14ac:dyDescent="0.25">
      <c r="C6" s="487" t="s">
        <v>128</v>
      </c>
      <c r="D6" s="488"/>
      <c r="E6" s="128">
        <v>14</v>
      </c>
      <c r="G6" s="126" t="s">
        <v>129</v>
      </c>
      <c r="H6" s="489" t="s">
        <v>130</v>
      </c>
      <c r="I6" s="490"/>
      <c r="J6" s="490"/>
      <c r="K6" s="491"/>
      <c r="N6" s="129" t="s">
        <v>131</v>
      </c>
    </row>
    <row r="7" spans="1:17" ht="22.2" customHeight="1" x14ac:dyDescent="0.25">
      <c r="C7" s="487" t="s">
        <v>132</v>
      </c>
      <c r="D7" s="488"/>
      <c r="E7" s="442">
        <v>14</v>
      </c>
      <c r="G7" s="130" t="s">
        <v>133</v>
      </c>
      <c r="J7" s="131">
        <v>2021</v>
      </c>
      <c r="K7" s="131">
        <v>2022</v>
      </c>
    </row>
    <row r="8" spans="1:17" ht="18" customHeight="1" x14ac:dyDescent="0.25">
      <c r="E8" s="132"/>
      <c r="G8" s="133"/>
    </row>
    <row r="9" spans="1:17" ht="25.95" customHeight="1" x14ac:dyDescent="0.25">
      <c r="B9" s="497" t="s">
        <v>134</v>
      </c>
      <c r="C9" s="497"/>
      <c r="D9" s="497"/>
      <c r="E9" s="134">
        <f>'[2]Budget détaillé'!J77</f>
        <v>0</v>
      </c>
      <c r="F9" s="498" t="s">
        <v>135</v>
      </c>
      <c r="G9" s="498"/>
      <c r="H9" s="135"/>
      <c r="I9" s="136" t="s">
        <v>136</v>
      </c>
      <c r="J9" s="134">
        <f>'Recettes et simulat'!J28+'Recettes et simulat'!F39-'[2]Budget détaillé'!K62</f>
        <v>49180</v>
      </c>
      <c r="K9" s="499" t="s">
        <v>137</v>
      </c>
      <c r="L9" s="500"/>
      <c r="M9" s="134">
        <f>'[2]Budget détaillé'!K63</f>
        <v>2064</v>
      </c>
    </row>
    <row r="10" spans="1:17" ht="22.2" customHeight="1" x14ac:dyDescent="0.25">
      <c r="B10" s="497" t="s">
        <v>138</v>
      </c>
      <c r="C10" s="497"/>
      <c r="D10" s="497"/>
      <c r="E10" s="134">
        <f>E9+J9</f>
        <v>49180</v>
      </c>
      <c r="F10" s="498"/>
      <c r="G10" s="498"/>
      <c r="H10" s="135"/>
      <c r="I10" s="137" t="s">
        <v>139</v>
      </c>
      <c r="J10" s="134">
        <f>'Recettes et simulat'!G28+'Recettes et simulat'!F39-'[2]Budget détaillé'!K62</f>
        <v>49180</v>
      </c>
    </row>
    <row r="11" spans="1:17" ht="16.95" customHeight="1" thickBot="1" x14ac:dyDescent="0.3"/>
    <row r="12" spans="1:17" ht="18.600000000000001" customHeight="1" thickBot="1" x14ac:dyDescent="0.3">
      <c r="B12" s="501" t="s">
        <v>140</v>
      </c>
      <c r="C12" s="502"/>
      <c r="D12" s="502"/>
      <c r="E12" s="502"/>
      <c r="F12" s="502"/>
      <c r="G12" s="502"/>
      <c r="H12" s="502"/>
      <c r="I12" s="502"/>
      <c r="J12" s="502"/>
      <c r="K12" s="502"/>
      <c r="L12" s="502"/>
      <c r="M12" s="503"/>
    </row>
    <row r="13" spans="1:17" ht="14.4" thickBot="1" x14ac:dyDescent="0.3"/>
    <row r="14" spans="1:17" ht="55.8" thickBot="1" x14ac:dyDescent="0.3">
      <c r="B14" s="138" t="s">
        <v>141</v>
      </c>
      <c r="C14" s="139" t="s">
        <v>142</v>
      </c>
      <c r="D14" s="139" t="s">
        <v>69</v>
      </c>
      <c r="E14" s="139" t="s">
        <v>143</v>
      </c>
      <c r="F14" s="139" t="s">
        <v>144</v>
      </c>
      <c r="G14" s="139" t="s">
        <v>145</v>
      </c>
      <c r="H14" s="140" t="s">
        <v>146</v>
      </c>
      <c r="I14" s="139" t="s">
        <v>147</v>
      </c>
      <c r="J14" s="139" t="s">
        <v>148</v>
      </c>
      <c r="K14" s="139" t="s">
        <v>149</v>
      </c>
      <c r="L14" s="504" t="s">
        <v>150</v>
      </c>
      <c r="M14" s="494"/>
      <c r="O14" s="141" t="s">
        <v>151</v>
      </c>
      <c r="P14" s="141">
        <v>250</v>
      </c>
      <c r="Q14" s="141">
        <v>400</v>
      </c>
    </row>
    <row r="15" spans="1:17" ht="20.399999999999999" customHeight="1" x14ac:dyDescent="0.25">
      <c r="B15" s="505" t="s">
        <v>152</v>
      </c>
      <c r="C15" s="506"/>
      <c r="D15" s="506"/>
      <c r="E15" s="506"/>
      <c r="F15" s="506"/>
      <c r="G15" s="506"/>
      <c r="H15" s="506"/>
      <c r="I15" s="506"/>
      <c r="J15" s="506"/>
      <c r="K15" s="506"/>
      <c r="L15" s="506"/>
      <c r="M15" s="507"/>
      <c r="O15" s="141" t="s">
        <v>153</v>
      </c>
      <c r="P15" s="141">
        <v>400</v>
      </c>
      <c r="Q15" s="141"/>
    </row>
    <row r="16" spans="1:17" ht="16.95" customHeight="1" thickBot="1" x14ac:dyDescent="0.3">
      <c r="B16" s="508" t="s">
        <v>154</v>
      </c>
      <c r="C16" s="509"/>
      <c r="D16" s="142"/>
      <c r="E16" s="143">
        <v>243</v>
      </c>
      <c r="F16" s="144">
        <v>14</v>
      </c>
      <c r="G16" s="145">
        <f>E16*F16</f>
        <v>3402</v>
      </c>
      <c r="H16" s="146"/>
      <c r="I16" s="147"/>
      <c r="J16" s="147"/>
      <c r="K16" s="148"/>
      <c r="L16" s="147"/>
      <c r="M16" s="149"/>
    </row>
    <row r="17" spans="2:13" ht="21" customHeight="1" x14ac:dyDescent="0.25">
      <c r="B17" s="505" t="s">
        <v>155</v>
      </c>
      <c r="C17" s="506"/>
      <c r="D17" s="506"/>
      <c r="E17" s="506"/>
      <c r="F17" s="506"/>
      <c r="G17" s="506"/>
      <c r="H17" s="506"/>
      <c r="I17" s="506"/>
      <c r="J17" s="506"/>
      <c r="K17" s="506"/>
      <c r="L17" s="506"/>
      <c r="M17" s="507"/>
    </row>
    <row r="18" spans="2:13" x14ac:dyDescent="0.25">
      <c r="B18" s="150" t="s">
        <v>156</v>
      </c>
      <c r="C18" s="151" t="s">
        <v>157</v>
      </c>
      <c r="D18" s="128"/>
      <c r="E18" s="143">
        <v>5500</v>
      </c>
      <c r="F18" s="128">
        <v>7</v>
      </c>
      <c r="G18" s="145">
        <f>E18*F18</f>
        <v>38500</v>
      </c>
      <c r="H18" s="145">
        <f t="shared" ref="H18:H27" si="0">IF(D18=0,0,E18/D18)</f>
        <v>0</v>
      </c>
      <c r="I18" s="152"/>
      <c r="J18" s="145">
        <f>G18*(1-I18)</f>
        <v>38500</v>
      </c>
      <c r="K18" s="145">
        <f t="shared" ref="K18:K27" si="1">IF((D18*F18)=0,0,J18/(D18*F18))</f>
        <v>0</v>
      </c>
      <c r="L18" s="495"/>
      <c r="M18" s="496"/>
    </row>
    <row r="19" spans="2:13" x14ac:dyDescent="0.25">
      <c r="B19" s="150" t="s">
        <v>158</v>
      </c>
      <c r="C19" s="151" t="s">
        <v>157</v>
      </c>
      <c r="D19" s="128"/>
      <c r="E19" s="143">
        <v>3000</v>
      </c>
      <c r="F19" s="128">
        <v>7</v>
      </c>
      <c r="G19" s="145">
        <f t="shared" ref="G19:G27" si="2">E19*F19</f>
        <v>21000</v>
      </c>
      <c r="H19" s="145">
        <f t="shared" si="0"/>
        <v>0</v>
      </c>
      <c r="I19" s="152"/>
      <c r="J19" s="145">
        <f t="shared" ref="J19:J27" si="3">G19*(1-I19)</f>
        <v>21000</v>
      </c>
      <c r="K19" s="145">
        <f t="shared" si="1"/>
        <v>0</v>
      </c>
      <c r="L19" s="495"/>
      <c r="M19" s="496"/>
    </row>
    <row r="20" spans="2:13" x14ac:dyDescent="0.25">
      <c r="B20" s="150" t="s">
        <v>159</v>
      </c>
      <c r="C20" s="151"/>
      <c r="D20" s="128"/>
      <c r="E20" s="143"/>
      <c r="F20" s="128"/>
      <c r="G20" s="145">
        <f t="shared" si="2"/>
        <v>0</v>
      </c>
      <c r="H20" s="145">
        <f t="shared" si="0"/>
        <v>0</v>
      </c>
      <c r="I20" s="152"/>
      <c r="J20" s="145">
        <f t="shared" si="3"/>
        <v>0</v>
      </c>
      <c r="K20" s="145">
        <f t="shared" si="1"/>
        <v>0</v>
      </c>
      <c r="L20" s="495"/>
      <c r="M20" s="496"/>
    </row>
    <row r="21" spans="2:13" x14ac:dyDescent="0.25">
      <c r="B21" s="150" t="s">
        <v>160</v>
      </c>
      <c r="C21" s="151"/>
      <c r="D21" s="128"/>
      <c r="E21" s="143"/>
      <c r="F21" s="128"/>
      <c r="G21" s="145">
        <f t="shared" si="2"/>
        <v>0</v>
      </c>
      <c r="H21" s="145">
        <f t="shared" si="0"/>
        <v>0</v>
      </c>
      <c r="I21" s="152"/>
      <c r="J21" s="145">
        <f t="shared" si="3"/>
        <v>0</v>
      </c>
      <c r="K21" s="145">
        <f t="shared" si="1"/>
        <v>0</v>
      </c>
      <c r="L21" s="495"/>
      <c r="M21" s="496"/>
    </row>
    <row r="22" spans="2:13" x14ac:dyDescent="0.25">
      <c r="B22" s="150" t="s">
        <v>161</v>
      </c>
      <c r="C22" s="151"/>
      <c r="D22" s="128"/>
      <c r="E22" s="143"/>
      <c r="F22" s="128"/>
      <c r="G22" s="145">
        <f t="shared" si="2"/>
        <v>0</v>
      </c>
      <c r="H22" s="145">
        <f t="shared" si="0"/>
        <v>0</v>
      </c>
      <c r="I22" s="152"/>
      <c r="J22" s="145">
        <f t="shared" si="3"/>
        <v>0</v>
      </c>
      <c r="K22" s="145">
        <f t="shared" si="1"/>
        <v>0</v>
      </c>
      <c r="L22" s="495"/>
      <c r="M22" s="496"/>
    </row>
    <row r="23" spans="2:13" x14ac:dyDescent="0.25">
      <c r="B23" s="150" t="s">
        <v>162</v>
      </c>
      <c r="C23" s="151"/>
      <c r="D23" s="128"/>
      <c r="E23" s="143"/>
      <c r="F23" s="128"/>
      <c r="G23" s="145">
        <f t="shared" si="2"/>
        <v>0</v>
      </c>
      <c r="H23" s="145">
        <f t="shared" si="0"/>
        <v>0</v>
      </c>
      <c r="I23" s="152"/>
      <c r="J23" s="145">
        <f t="shared" si="3"/>
        <v>0</v>
      </c>
      <c r="K23" s="145">
        <f t="shared" si="1"/>
        <v>0</v>
      </c>
      <c r="L23" s="495"/>
      <c r="M23" s="496"/>
    </row>
    <row r="24" spans="2:13" x14ac:dyDescent="0.25">
      <c r="B24" s="150" t="s">
        <v>163</v>
      </c>
      <c r="C24" s="151"/>
      <c r="D24" s="128"/>
      <c r="E24" s="143"/>
      <c r="F24" s="128"/>
      <c r="G24" s="145">
        <f t="shared" si="2"/>
        <v>0</v>
      </c>
      <c r="H24" s="145">
        <f t="shared" si="0"/>
        <v>0</v>
      </c>
      <c r="I24" s="152"/>
      <c r="J24" s="145">
        <f t="shared" si="3"/>
        <v>0</v>
      </c>
      <c r="K24" s="145">
        <f t="shared" si="1"/>
        <v>0</v>
      </c>
      <c r="L24" s="495"/>
      <c r="M24" s="496"/>
    </row>
    <row r="25" spans="2:13" x14ac:dyDescent="0.25">
      <c r="B25" s="150" t="s">
        <v>164</v>
      </c>
      <c r="C25" s="151"/>
      <c r="D25" s="128"/>
      <c r="E25" s="143"/>
      <c r="F25" s="128"/>
      <c r="G25" s="145">
        <f t="shared" si="2"/>
        <v>0</v>
      </c>
      <c r="H25" s="145">
        <f t="shared" si="0"/>
        <v>0</v>
      </c>
      <c r="I25" s="152"/>
      <c r="J25" s="145">
        <f t="shared" si="3"/>
        <v>0</v>
      </c>
      <c r="K25" s="145">
        <f t="shared" si="1"/>
        <v>0</v>
      </c>
      <c r="L25" s="495"/>
      <c r="M25" s="496"/>
    </row>
    <row r="26" spans="2:13" x14ac:dyDescent="0.25">
      <c r="B26" s="150" t="s">
        <v>165</v>
      </c>
      <c r="C26" s="151"/>
      <c r="D26" s="128"/>
      <c r="E26" s="143"/>
      <c r="F26" s="128"/>
      <c r="G26" s="145">
        <f t="shared" si="2"/>
        <v>0</v>
      </c>
      <c r="H26" s="145">
        <f t="shared" si="0"/>
        <v>0</v>
      </c>
      <c r="I26" s="152"/>
      <c r="J26" s="145">
        <f t="shared" si="3"/>
        <v>0</v>
      </c>
      <c r="K26" s="145">
        <f t="shared" si="1"/>
        <v>0</v>
      </c>
      <c r="L26" s="495"/>
      <c r="M26" s="496"/>
    </row>
    <row r="27" spans="2:13" x14ac:dyDescent="0.25">
      <c r="B27" s="153" t="s">
        <v>166</v>
      </c>
      <c r="C27" s="154"/>
      <c r="D27" s="128"/>
      <c r="E27" s="155"/>
      <c r="F27" s="128"/>
      <c r="G27" s="145">
        <f t="shared" si="2"/>
        <v>0</v>
      </c>
      <c r="H27" s="145">
        <f t="shared" si="0"/>
        <v>0</v>
      </c>
      <c r="I27" s="152"/>
      <c r="J27" s="145">
        <f t="shared" si="3"/>
        <v>0</v>
      </c>
      <c r="K27" s="145">
        <f t="shared" si="1"/>
        <v>0</v>
      </c>
      <c r="L27" s="495"/>
      <c r="M27" s="496"/>
    </row>
    <row r="28" spans="2:13" ht="14.4" thickBot="1" x14ac:dyDescent="0.3">
      <c r="B28" s="515" t="s">
        <v>167</v>
      </c>
      <c r="C28" s="516"/>
      <c r="D28" s="156"/>
      <c r="E28" s="157"/>
      <c r="F28" s="156">
        <f>SUM(F18:F27)</f>
        <v>14</v>
      </c>
      <c r="G28" s="158">
        <f>SUM(G18:G27)</f>
        <v>59500</v>
      </c>
      <c r="H28" s="159">
        <f>IF(SUMPRODUCT(F18:F27,D18:D27)=0,0,G28/SUMPRODUCT(F18:F27,D18:D27))</f>
        <v>0</v>
      </c>
      <c r="I28" s="156"/>
      <c r="J28" s="158">
        <f>SUM(J18:J27)</f>
        <v>59500</v>
      </c>
      <c r="K28" s="158">
        <f>IF(D28=0,0,IF(SUMPRODUCT(F18:F27,D18:D27)=0,0,J28/SUMPRODUCT(F18:F27,D18:D27)))</f>
        <v>0</v>
      </c>
      <c r="L28" s="517"/>
      <c r="M28" s="518"/>
    </row>
    <row r="29" spans="2:13" x14ac:dyDescent="0.25">
      <c r="B29" s="130"/>
      <c r="C29" s="130"/>
      <c r="D29" s="127"/>
      <c r="E29" s="133"/>
      <c r="F29" s="127"/>
      <c r="G29" s="160"/>
      <c r="H29" s="160"/>
      <c r="I29" s="133"/>
      <c r="J29" s="160"/>
      <c r="K29" s="160"/>
      <c r="L29" s="160"/>
      <c r="M29" s="133"/>
    </row>
    <row r="30" spans="2:13" ht="14.4" thickBot="1" x14ac:dyDescent="0.3"/>
    <row r="31" spans="2:13" ht="18.600000000000001" customHeight="1" thickBot="1" x14ac:dyDescent="0.3">
      <c r="B31" s="501" t="s">
        <v>168</v>
      </c>
      <c r="C31" s="502"/>
      <c r="D31" s="502"/>
      <c r="E31" s="502"/>
      <c r="F31" s="502"/>
      <c r="G31" s="502"/>
      <c r="H31" s="502"/>
      <c r="I31" s="502"/>
      <c r="J31" s="502"/>
      <c r="K31" s="502"/>
      <c r="L31" s="502"/>
      <c r="M31" s="503"/>
    </row>
    <row r="32" spans="2:13" ht="14.4" thickBot="1" x14ac:dyDescent="0.3"/>
    <row r="33" spans="2:13" ht="21" customHeight="1" x14ac:dyDescent="0.25">
      <c r="B33" s="510" t="s">
        <v>169</v>
      </c>
      <c r="C33" s="511"/>
      <c r="D33" s="512"/>
      <c r="E33" s="161" t="s">
        <v>170</v>
      </c>
      <c r="F33" s="161" t="s">
        <v>171</v>
      </c>
      <c r="G33" s="513" t="s">
        <v>172</v>
      </c>
      <c r="H33" s="511"/>
      <c r="I33" s="511"/>
      <c r="J33" s="511"/>
      <c r="K33" s="514"/>
    </row>
    <row r="34" spans="2:13" x14ac:dyDescent="0.25">
      <c r="B34" s="519"/>
      <c r="C34" s="520"/>
      <c r="D34" s="520"/>
      <c r="E34" s="151"/>
      <c r="F34" s="143"/>
      <c r="G34" s="521"/>
      <c r="H34" s="521"/>
      <c r="I34" s="521"/>
      <c r="J34" s="521"/>
      <c r="K34" s="522"/>
    </row>
    <row r="35" spans="2:13" x14ac:dyDescent="0.25">
      <c r="B35" s="519"/>
      <c r="C35" s="520"/>
      <c r="D35" s="520"/>
      <c r="E35" s="151"/>
      <c r="F35" s="143"/>
      <c r="G35" s="521"/>
      <c r="H35" s="521"/>
      <c r="I35" s="521"/>
      <c r="J35" s="521"/>
      <c r="K35" s="522"/>
    </row>
    <row r="36" spans="2:13" x14ac:dyDescent="0.25">
      <c r="B36" s="519"/>
      <c r="C36" s="520"/>
      <c r="D36" s="520"/>
      <c r="E36" s="151"/>
      <c r="F36" s="143"/>
      <c r="G36" s="521"/>
      <c r="H36" s="521"/>
      <c r="I36" s="521"/>
      <c r="J36" s="521"/>
      <c r="K36" s="522"/>
    </row>
    <row r="37" spans="2:13" x14ac:dyDescent="0.25">
      <c r="B37" s="523"/>
      <c r="C37" s="524"/>
      <c r="D37" s="524"/>
      <c r="E37" s="151"/>
      <c r="F37" s="143"/>
      <c r="G37" s="521"/>
      <c r="H37" s="521"/>
      <c r="I37" s="521"/>
      <c r="J37" s="521"/>
      <c r="K37" s="522"/>
    </row>
    <row r="38" spans="2:13" x14ac:dyDescent="0.25">
      <c r="B38" s="523"/>
      <c r="C38" s="524"/>
      <c r="D38" s="524"/>
      <c r="E38" s="151"/>
      <c r="F38" s="143"/>
      <c r="G38" s="521"/>
      <c r="H38" s="521"/>
      <c r="I38" s="521"/>
      <c r="J38" s="521"/>
      <c r="K38" s="522"/>
    </row>
    <row r="39" spans="2:13" ht="14.4" thickBot="1" x14ac:dyDescent="0.3">
      <c r="B39" s="525" t="s">
        <v>173</v>
      </c>
      <c r="C39" s="526"/>
      <c r="D39" s="526"/>
      <c r="E39" s="526"/>
      <c r="F39" s="162">
        <f>SUM(F34:F38)</f>
        <v>0</v>
      </c>
      <c r="G39" s="527"/>
      <c r="H39" s="528"/>
      <c r="I39" s="528"/>
      <c r="J39" s="528"/>
      <c r="K39" s="529"/>
      <c r="L39" s="133"/>
      <c r="M39" s="133"/>
    </row>
    <row r="40" spans="2:13" x14ac:dyDescent="0.25">
      <c r="F40" s="122"/>
    </row>
    <row r="41" spans="2:13" ht="32.4" customHeight="1" x14ac:dyDescent="0.25"/>
  </sheetData>
  <sheetProtection formatCells="0" formatColumns="0" formatRows="0" autoFilter="0"/>
  <mergeCells count="44">
    <mergeCell ref="B37:D37"/>
    <mergeCell ref="G37:K37"/>
    <mergeCell ref="B38:D38"/>
    <mergeCell ref="G38:K38"/>
    <mergeCell ref="B39:E39"/>
    <mergeCell ref="G39:K39"/>
    <mergeCell ref="B34:D34"/>
    <mergeCell ref="G34:K34"/>
    <mergeCell ref="B35:D35"/>
    <mergeCell ref="G35:K35"/>
    <mergeCell ref="B36:D36"/>
    <mergeCell ref="G36:K36"/>
    <mergeCell ref="B33:D33"/>
    <mergeCell ref="G33:K33"/>
    <mergeCell ref="L20:M20"/>
    <mergeCell ref="L21:M21"/>
    <mergeCell ref="L22:M22"/>
    <mergeCell ref="L23:M23"/>
    <mergeCell ref="L24:M24"/>
    <mergeCell ref="L25:M25"/>
    <mergeCell ref="L26:M26"/>
    <mergeCell ref="L27:M27"/>
    <mergeCell ref="B28:C28"/>
    <mergeCell ref="L28:M28"/>
    <mergeCell ref="B31:M31"/>
    <mergeCell ref="L19:M19"/>
    <mergeCell ref="C7:D7"/>
    <mergeCell ref="B9:D9"/>
    <mergeCell ref="F9:G10"/>
    <mergeCell ref="K9:L9"/>
    <mergeCell ref="B10:D10"/>
    <mergeCell ref="B12:M12"/>
    <mergeCell ref="L14:M14"/>
    <mergeCell ref="B15:M15"/>
    <mergeCell ref="B16:C16"/>
    <mergeCell ref="B17:M17"/>
    <mergeCell ref="L18:M18"/>
    <mergeCell ref="C6:D6"/>
    <mergeCell ref="H6:K6"/>
    <mergeCell ref="B2:M2"/>
    <mergeCell ref="D4:E4"/>
    <mergeCell ref="H4:K4"/>
    <mergeCell ref="D5:E5"/>
    <mergeCell ref="H5:K5"/>
  </mergeCells>
  <conditionalFormatting sqref="J9:J10">
    <cfRule type="cellIs" dxfId="8" priority="8" operator="lessThan">
      <formula>0</formula>
    </cfRule>
    <cfRule type="cellIs" dxfId="7" priority="9" operator="greaterThan">
      <formula>0</formula>
    </cfRule>
  </conditionalFormatting>
  <conditionalFormatting sqref="E9">
    <cfRule type="cellIs" dxfId="6" priority="6" operator="lessThan">
      <formula>0</formula>
    </cfRule>
    <cfRule type="cellIs" dxfId="5" priority="7" operator="greaterThan">
      <formula>0</formula>
    </cfRule>
  </conditionalFormatting>
  <conditionalFormatting sqref="D18:D27">
    <cfRule type="expression" dxfId="4" priority="3" stopIfTrue="1">
      <formula>AND(C18=$O$15,D18&lt;$P$15)</formula>
    </cfRule>
    <cfRule type="expression" dxfId="3" priority="4" stopIfTrue="1">
      <formula>AND(C18=$O$14,D18&gt;$Q$14)</formula>
    </cfRule>
    <cfRule type="expression" dxfId="2" priority="5" stopIfTrue="1">
      <formula>AND(C18=$O$14,D18&lt;$P$14)</formula>
    </cfRule>
  </conditionalFormatting>
  <conditionalFormatting sqref="E10">
    <cfRule type="cellIs" dxfId="1" priority="1" operator="lessThan">
      <formula>0</formula>
    </cfRule>
    <cfRule type="cellIs" dxfId="0" priority="2" operator="greaterThan">
      <formula>0</formula>
    </cfRule>
  </conditionalFormatting>
  <dataValidations count="3">
    <dataValidation type="list" allowBlank="1" showInputMessage="1" showErrorMessage="1" sqref="C18:C27">
      <formula1>"Formation continue,Contrat d'apprentissage,Contrat de professionnalisation"</formula1>
    </dataValidation>
    <dataValidation type="list" allowBlank="1" showInputMessage="1" showErrorMessage="1" sqref="H4:K4">
      <formula1>"Licence Professionnelle,Licence,Master,Diplôme Universitaire Technologique,Diplôme Universitaire,Formation courte"</formula1>
    </dataValidation>
    <dataValidation type="list" allowBlank="1" showInputMessage="1" showErrorMessage="1" sqref="E34:E38">
      <formula1>"Région, Ministère,partenaire"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Paramétrage!$G$6:$G$17</xm:f>
          </x14:formula1>
          <xm:sqref>H6:K6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31"/>
  <sheetViews>
    <sheetView zoomScale="70" zoomScaleNormal="70" workbookViewId="0">
      <selection activeCell="A30" sqref="A30:XFD55"/>
    </sheetView>
  </sheetViews>
  <sheetFormatPr baseColWidth="10" defaultColWidth="11.5546875" defaultRowHeight="13.2" x14ac:dyDescent="0.25"/>
  <cols>
    <col min="1" max="1" width="11.5546875" style="1"/>
    <col min="2" max="2" width="34.6640625" style="1" bestFit="1" customWidth="1"/>
    <col min="3" max="3" width="6.6640625" style="1" bestFit="1" customWidth="1"/>
    <col min="4" max="4" width="5.6640625" style="1" customWidth="1"/>
    <col min="5" max="5" width="5.44140625" style="1" bestFit="1" customWidth="1"/>
    <col min="6" max="6" width="11.5546875" style="1"/>
    <col min="7" max="7" width="59.33203125" style="1" bestFit="1" customWidth="1"/>
    <col min="8" max="16384" width="11.5546875" style="1"/>
  </cols>
  <sheetData>
    <row r="3" spans="2:7" x14ac:dyDescent="0.25">
      <c r="B3" s="530" t="s">
        <v>174</v>
      </c>
      <c r="C3" s="530"/>
      <c r="D3" s="530"/>
      <c r="E3" s="530"/>
      <c r="G3" s="37" t="s">
        <v>175</v>
      </c>
    </row>
    <row r="4" spans="2:7" x14ac:dyDescent="0.25">
      <c r="B4" s="34"/>
      <c r="C4" s="35"/>
      <c r="D4" s="34"/>
      <c r="E4" s="36"/>
    </row>
    <row r="5" spans="2:7" ht="14.4" x14ac:dyDescent="0.25">
      <c r="D5" s="1" t="s">
        <v>176</v>
      </c>
      <c r="E5" s="447" t="s">
        <v>177</v>
      </c>
    </row>
    <row r="6" spans="2:7" ht="14.4" x14ac:dyDescent="0.25">
      <c r="B6" s="32" t="s">
        <v>178</v>
      </c>
      <c r="C6" s="31" t="s">
        <v>94</v>
      </c>
      <c r="D6" s="31">
        <v>1</v>
      </c>
      <c r="E6" s="31">
        <v>1.5</v>
      </c>
      <c r="G6" s="33" t="s">
        <v>179</v>
      </c>
    </row>
    <row r="7" spans="2:7" ht="14.4" x14ac:dyDescent="0.25">
      <c r="B7" s="32" t="s">
        <v>180</v>
      </c>
      <c r="C7" s="430" t="s">
        <v>89</v>
      </c>
      <c r="D7" s="31">
        <v>1</v>
      </c>
      <c r="E7" s="31">
        <v>1</v>
      </c>
      <c r="G7" s="33" t="s">
        <v>181</v>
      </c>
    </row>
    <row r="8" spans="2:7" ht="14.4" x14ac:dyDescent="0.25">
      <c r="B8" s="33" t="s">
        <v>182</v>
      </c>
      <c r="C8" s="430" t="s">
        <v>183</v>
      </c>
      <c r="D8" s="31">
        <v>1</v>
      </c>
      <c r="E8" s="31">
        <v>0.66</v>
      </c>
      <c r="G8" s="33" t="s">
        <v>184</v>
      </c>
    </row>
    <row r="9" spans="2:7" ht="14.4" x14ac:dyDescent="0.25">
      <c r="B9" s="32" t="s">
        <v>185</v>
      </c>
      <c r="C9" s="430" t="s">
        <v>186</v>
      </c>
      <c r="D9" s="430">
        <v>0</v>
      </c>
      <c r="E9" s="31">
        <v>0</v>
      </c>
      <c r="G9" s="33" t="s">
        <v>187</v>
      </c>
    </row>
    <row r="10" spans="2:7" ht="14.4" x14ac:dyDescent="0.25">
      <c r="B10" s="33" t="s">
        <v>188</v>
      </c>
      <c r="C10" s="430" t="s">
        <v>189</v>
      </c>
      <c r="D10" s="31">
        <v>1</v>
      </c>
      <c r="E10" s="31">
        <v>1</v>
      </c>
      <c r="G10" s="33" t="s">
        <v>190</v>
      </c>
    </row>
    <row r="11" spans="2:7" ht="14.4" x14ac:dyDescent="0.25">
      <c r="B11" s="33" t="s">
        <v>191</v>
      </c>
      <c r="C11" s="430" t="s">
        <v>192</v>
      </c>
      <c r="D11" s="31">
        <v>1</v>
      </c>
      <c r="E11" s="31">
        <v>1.5</v>
      </c>
      <c r="G11" s="33" t="s">
        <v>193</v>
      </c>
    </row>
    <row r="12" spans="2:7" ht="14.4" x14ac:dyDescent="0.25">
      <c r="B12" s="32" t="s">
        <v>194</v>
      </c>
      <c r="C12" s="430" t="s">
        <v>195</v>
      </c>
      <c r="D12" s="31">
        <v>0</v>
      </c>
      <c r="E12" s="31">
        <v>0</v>
      </c>
      <c r="G12" s="33" t="s">
        <v>196</v>
      </c>
    </row>
    <row r="13" spans="2:7" ht="14.4" x14ac:dyDescent="0.25">
      <c r="B13" s="33" t="s">
        <v>197</v>
      </c>
      <c r="C13" s="430" t="s">
        <v>198</v>
      </c>
      <c r="D13" s="31">
        <v>1</v>
      </c>
      <c r="E13" s="31">
        <v>1</v>
      </c>
      <c r="G13" s="33" t="s">
        <v>199</v>
      </c>
    </row>
    <row r="14" spans="2:7" ht="14.4" x14ac:dyDescent="0.25">
      <c r="B14" s="33" t="s">
        <v>200</v>
      </c>
      <c r="C14" s="430" t="s">
        <v>201</v>
      </c>
      <c r="D14" s="31">
        <v>1</v>
      </c>
      <c r="E14" s="31">
        <v>1.5</v>
      </c>
      <c r="G14" s="33" t="s">
        <v>202</v>
      </c>
    </row>
    <row r="15" spans="2:7" ht="14.4" x14ac:dyDescent="0.25">
      <c r="B15" s="32" t="s">
        <v>203</v>
      </c>
      <c r="C15" s="430" t="s">
        <v>204</v>
      </c>
      <c r="D15" s="31">
        <v>0</v>
      </c>
      <c r="E15" s="31">
        <v>0</v>
      </c>
      <c r="G15" s="33" t="s">
        <v>205</v>
      </c>
    </row>
    <row r="16" spans="2:7" ht="14.4" x14ac:dyDescent="0.25">
      <c r="B16" s="33" t="s">
        <v>206</v>
      </c>
      <c r="C16" s="430" t="s">
        <v>207</v>
      </c>
      <c r="D16" s="31">
        <v>1</v>
      </c>
      <c r="E16" s="31">
        <v>1</v>
      </c>
      <c r="G16" s="33" t="s">
        <v>130</v>
      </c>
    </row>
    <row r="17" spans="2:17" ht="14.4" x14ac:dyDescent="0.25">
      <c r="B17" s="33" t="s">
        <v>208</v>
      </c>
      <c r="C17" s="430" t="s">
        <v>209</v>
      </c>
      <c r="D17" s="31">
        <v>1</v>
      </c>
      <c r="E17" s="31">
        <v>1.5</v>
      </c>
      <c r="G17" s="33" t="s">
        <v>210</v>
      </c>
    </row>
    <row r="18" spans="2:17" ht="14.4" x14ac:dyDescent="0.25">
      <c r="B18" s="32" t="s">
        <v>211</v>
      </c>
      <c r="C18" s="430" t="s">
        <v>212</v>
      </c>
      <c r="D18" s="31">
        <v>0</v>
      </c>
      <c r="E18" s="31">
        <v>0</v>
      </c>
      <c r="G18" s="2"/>
    </row>
    <row r="19" spans="2:17" ht="14.4" x14ac:dyDescent="0.25">
      <c r="B19" s="33" t="s">
        <v>213</v>
      </c>
      <c r="C19" s="430" t="s">
        <v>214</v>
      </c>
      <c r="D19" s="31">
        <v>1</v>
      </c>
      <c r="E19" s="31">
        <v>1</v>
      </c>
    </row>
    <row r="20" spans="2:17" ht="14.4" x14ac:dyDescent="0.25">
      <c r="B20" s="33" t="s">
        <v>215</v>
      </c>
      <c r="C20" s="430" t="s">
        <v>216</v>
      </c>
      <c r="D20" s="31">
        <v>1</v>
      </c>
      <c r="E20" s="31">
        <v>1.5</v>
      </c>
    </row>
    <row r="21" spans="2:17" ht="14.4" x14ac:dyDescent="0.25">
      <c r="B21" s="32" t="s">
        <v>217</v>
      </c>
      <c r="C21" s="430" t="s">
        <v>218</v>
      </c>
      <c r="D21" s="31">
        <v>0</v>
      </c>
      <c r="E21" s="31">
        <v>0</v>
      </c>
    </row>
    <row r="22" spans="2:17" ht="14.4" x14ac:dyDescent="0.25">
      <c r="B22" s="32" t="s">
        <v>219</v>
      </c>
      <c r="C22" s="430" t="s">
        <v>220</v>
      </c>
      <c r="D22" s="31">
        <v>0</v>
      </c>
      <c r="E22" s="31">
        <v>0</v>
      </c>
    </row>
    <row r="23" spans="2:17" ht="14.4" x14ac:dyDescent="0.25">
      <c r="B23" s="33" t="s">
        <v>221</v>
      </c>
      <c r="C23" s="430" t="s">
        <v>222</v>
      </c>
      <c r="D23" s="430">
        <v>1</v>
      </c>
      <c r="E23" s="31">
        <v>1</v>
      </c>
    </row>
    <row r="24" spans="2:17" ht="14.4" x14ac:dyDescent="0.25">
      <c r="B24" s="33" t="s">
        <v>223</v>
      </c>
      <c r="C24" s="33" t="s">
        <v>224</v>
      </c>
      <c r="D24" s="32">
        <v>1</v>
      </c>
      <c r="E24" s="31">
        <v>1.5</v>
      </c>
    </row>
    <row r="25" spans="2:17" ht="14.4" x14ac:dyDescent="0.25">
      <c r="B25" s="32" t="s">
        <v>225</v>
      </c>
      <c r="C25" s="33" t="s">
        <v>103</v>
      </c>
      <c r="D25" s="33">
        <v>0</v>
      </c>
      <c r="E25" s="31">
        <v>0</v>
      </c>
    </row>
    <row r="26" spans="2:17" x14ac:dyDescent="0.25">
      <c r="B26" s="33" t="s">
        <v>226</v>
      </c>
      <c r="C26" s="33" t="s">
        <v>227</v>
      </c>
      <c r="D26" s="33">
        <v>1</v>
      </c>
      <c r="E26" s="32">
        <v>1</v>
      </c>
    </row>
    <row r="27" spans="2:17" x14ac:dyDescent="0.25">
      <c r="B27" s="33" t="s">
        <v>228</v>
      </c>
      <c r="C27" s="33" t="s">
        <v>229</v>
      </c>
      <c r="D27" s="33">
        <v>1</v>
      </c>
      <c r="E27" s="32">
        <v>1.5</v>
      </c>
    </row>
    <row r="30" spans="2:17" ht="13.8" x14ac:dyDescent="0.25">
      <c r="Q30" s="173"/>
    </row>
    <row r="31" spans="2:17" ht="13.8" x14ac:dyDescent="0.25">
      <c r="Q31" s="173"/>
    </row>
  </sheetData>
  <sortState ref="G6:G16">
    <sortCondition ref="G6"/>
  </sortState>
  <mergeCells count="1">
    <mergeCell ref="B3:E3"/>
  </mergeCells>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8"/>
  <sheetViews>
    <sheetView showGridLines="0" showZeros="0" tabSelected="1" zoomScale="85" zoomScaleNormal="85" zoomScaleSheetLayoutView="70" workbookViewId="0">
      <pane ySplit="9" topLeftCell="A19" activePane="bottomLeft" state="frozen"/>
      <selection pane="bottomLeft" activeCell="G20" sqref="G20"/>
    </sheetView>
  </sheetViews>
  <sheetFormatPr baseColWidth="10" defaultColWidth="11.44140625" defaultRowHeight="13.2" outlineLevelRow="2" outlineLevelCol="1" x14ac:dyDescent="0.25"/>
  <cols>
    <col min="1" max="1" width="1.33203125" customWidth="1"/>
    <col min="2" max="2" width="5.6640625" customWidth="1"/>
    <col min="3" max="3" width="14.6640625" customWidth="1"/>
    <col min="4" max="4" width="16.44140625" customWidth="1"/>
    <col min="5" max="5" width="14.6640625" customWidth="1"/>
    <col min="6" max="6" width="4.6640625" customWidth="1"/>
    <col min="7" max="7" width="10.6640625" customWidth="1"/>
    <col min="8" max="11" width="11" customWidth="1"/>
    <col min="12" max="16" width="11" customWidth="1" outlineLevel="1"/>
    <col min="17" max="17" width="9.33203125" customWidth="1"/>
    <col min="18" max="18" width="6.88671875" customWidth="1"/>
    <col min="19" max="19" width="6.109375" customWidth="1"/>
    <col min="20" max="20" width="11.33203125" bestFit="1" customWidth="1"/>
    <col min="21" max="21" width="24.5546875" bestFit="1" customWidth="1"/>
  </cols>
  <sheetData>
    <row r="1" spans="1:22" ht="7.2" customHeight="1" thickBot="1" x14ac:dyDescent="0.3">
      <c r="A1" s="125"/>
      <c r="B1" s="125"/>
      <c r="C1" s="125"/>
      <c r="D1" s="125"/>
      <c r="E1" s="125"/>
      <c r="F1" s="125"/>
      <c r="G1" s="125"/>
      <c r="H1" s="163"/>
      <c r="I1" s="164"/>
      <c r="J1" s="165"/>
      <c r="K1" s="163"/>
      <c r="L1" s="163"/>
      <c r="M1" s="163"/>
      <c r="N1" s="163"/>
      <c r="O1" s="163"/>
      <c r="P1" s="163"/>
      <c r="Q1" s="121"/>
      <c r="R1" s="121"/>
      <c r="S1" s="125"/>
      <c r="T1" s="125"/>
      <c r="U1" s="125"/>
      <c r="V1" s="125"/>
    </row>
    <row r="2" spans="1:22" ht="28.2" customHeight="1" thickBot="1" x14ac:dyDescent="0.3">
      <c r="A2" s="125"/>
      <c r="B2" s="492" t="s">
        <v>230</v>
      </c>
      <c r="C2" s="493"/>
      <c r="D2" s="493"/>
      <c r="E2" s="493"/>
      <c r="F2" s="493"/>
      <c r="G2" s="493"/>
      <c r="H2" s="493"/>
      <c r="I2" s="493"/>
      <c r="J2" s="493"/>
      <c r="K2" s="494"/>
      <c r="L2" s="492" t="s">
        <v>231</v>
      </c>
      <c r="M2" s="493"/>
      <c r="N2" s="493"/>
      <c r="O2" s="493"/>
      <c r="P2" s="494"/>
      <c r="Q2" s="121"/>
      <c r="R2" s="121"/>
      <c r="S2" s="125"/>
      <c r="T2" s="125"/>
      <c r="U2" s="125"/>
      <c r="V2" s="125"/>
    </row>
    <row r="3" spans="1:22" ht="6.75" customHeight="1" x14ac:dyDescent="0.25">
      <c r="A3" s="125"/>
      <c r="B3" s="166"/>
      <c r="C3" s="166"/>
      <c r="D3" s="166"/>
      <c r="E3" s="166"/>
      <c r="F3" s="166"/>
      <c r="G3" s="166"/>
      <c r="H3" s="166"/>
      <c r="I3" s="166"/>
      <c r="J3" s="166"/>
      <c r="K3" s="166"/>
      <c r="L3" s="166"/>
      <c r="M3" s="166"/>
      <c r="N3" s="166"/>
      <c r="O3" s="166"/>
      <c r="P3" s="166"/>
      <c r="Q3" s="121"/>
      <c r="R3" s="121"/>
      <c r="S3" s="125"/>
      <c r="T3" s="125"/>
      <c r="U3" s="125"/>
      <c r="V3" s="125"/>
    </row>
    <row r="4" spans="1:22" ht="5.25" customHeight="1" x14ac:dyDescent="0.25">
      <c r="A4" s="125"/>
      <c r="B4" s="125"/>
      <c r="C4" s="125"/>
      <c r="D4" s="125"/>
      <c r="E4" s="125"/>
      <c r="F4" s="163"/>
      <c r="G4" s="163"/>
      <c r="H4" s="163"/>
      <c r="I4" s="163"/>
      <c r="J4" s="165"/>
      <c r="K4" s="163"/>
      <c r="L4" s="163"/>
      <c r="M4" s="163"/>
      <c r="N4" s="163"/>
      <c r="O4" s="163"/>
      <c r="P4" s="163"/>
      <c r="Q4" s="121"/>
      <c r="R4" s="121"/>
      <c r="S4" s="125"/>
      <c r="T4" s="125"/>
      <c r="U4" s="125"/>
      <c r="V4" s="125"/>
    </row>
    <row r="5" spans="1:22" ht="22.2" customHeight="1" x14ac:dyDescent="0.25">
      <c r="A5" s="125"/>
      <c r="B5" s="125"/>
      <c r="C5" s="167" t="s">
        <v>120</v>
      </c>
      <c r="D5" s="531" t="str">
        <f>'Recettes et simulat'!D4</f>
        <v>Université Lumière Lyon 2</v>
      </c>
      <c r="E5" s="532"/>
      <c r="F5" s="125"/>
      <c r="G5" s="167" t="s">
        <v>122</v>
      </c>
      <c r="H5" s="531" t="str">
        <f>'Recettes et simulat'!H4</f>
        <v>Master</v>
      </c>
      <c r="I5" s="533"/>
      <c r="J5" s="533"/>
      <c r="K5" s="532"/>
      <c r="L5" s="163"/>
      <c r="M5" s="163"/>
      <c r="N5" s="163"/>
      <c r="O5" s="163"/>
      <c r="P5" s="163"/>
      <c r="Q5" s="121"/>
      <c r="R5" s="121"/>
      <c r="S5" s="125"/>
      <c r="T5" s="125"/>
      <c r="U5" s="129" t="s">
        <v>131</v>
      </c>
      <c r="V5" s="125"/>
    </row>
    <row r="6" spans="1:22" ht="22.2" customHeight="1" x14ac:dyDescent="0.25">
      <c r="A6" s="125"/>
      <c r="B6" s="125"/>
      <c r="C6" s="166" t="s">
        <v>124</v>
      </c>
      <c r="D6" s="531" t="str">
        <f>'Recettes et simulat'!D5</f>
        <v>En cours</v>
      </c>
      <c r="E6" s="532"/>
      <c r="F6" s="125"/>
      <c r="G6" s="167" t="s">
        <v>232</v>
      </c>
      <c r="H6" s="531" t="str">
        <f>'Recettes et simulat'!H5</f>
        <v xml:space="preserve">Economie sociale et solidaire </v>
      </c>
      <c r="I6" s="533"/>
      <c r="J6" s="533"/>
      <c r="K6" s="532"/>
      <c r="L6" s="163"/>
      <c r="M6" s="163"/>
      <c r="N6" s="163"/>
      <c r="O6" s="163"/>
      <c r="P6" s="163"/>
      <c r="Q6" s="121"/>
      <c r="R6" s="121"/>
      <c r="S6" s="125"/>
      <c r="T6" s="125"/>
      <c r="U6" s="125"/>
      <c r="V6" s="125"/>
    </row>
    <row r="7" spans="1:22" ht="22.2" customHeight="1" x14ac:dyDescent="0.25">
      <c r="A7" s="125"/>
      <c r="B7" s="125"/>
      <c r="C7" s="168" t="s">
        <v>128</v>
      </c>
      <c r="D7" s="169"/>
      <c r="E7" s="28">
        <f>'Recettes et simulat'!E6</f>
        <v>14</v>
      </c>
      <c r="F7" s="125"/>
      <c r="G7" s="167" t="s">
        <v>129</v>
      </c>
      <c r="H7" s="531" t="str">
        <f>'Recettes et simulat'!H6</f>
        <v>SEG - Sciences Economiques et de Gestion</v>
      </c>
      <c r="I7" s="533"/>
      <c r="J7" s="533"/>
      <c r="K7" s="532"/>
      <c r="L7" s="163"/>
      <c r="M7" s="163"/>
      <c r="N7" s="163"/>
      <c r="O7" s="163"/>
      <c r="P7" s="163"/>
      <c r="Q7" s="121"/>
      <c r="R7" s="121"/>
      <c r="S7" s="125"/>
      <c r="T7" s="125"/>
      <c r="U7" s="125"/>
      <c r="V7" s="125"/>
    </row>
    <row r="8" spans="1:22" ht="22.2" customHeight="1" x14ac:dyDescent="0.25">
      <c r="A8" s="125"/>
      <c r="B8" s="125"/>
      <c r="C8" s="168" t="s">
        <v>132</v>
      </c>
      <c r="D8" s="169"/>
      <c r="E8" s="28">
        <f>'Recettes et simulat'!E7</f>
        <v>14</v>
      </c>
      <c r="F8" s="125"/>
      <c r="G8" s="130" t="s">
        <v>133</v>
      </c>
      <c r="H8" s="125"/>
      <c r="I8" s="125"/>
      <c r="J8" s="170">
        <f>'Recettes et simulat'!J7</f>
        <v>2021</v>
      </c>
      <c r="K8" s="170">
        <f>'Recettes et simulat'!K7</f>
        <v>2022</v>
      </c>
      <c r="L8" s="125"/>
      <c r="M8" s="125"/>
      <c r="N8" s="125"/>
      <c r="O8" s="125"/>
      <c r="P8" s="125"/>
      <c r="Q8" s="121"/>
      <c r="R8" s="121"/>
      <c r="S8" s="125"/>
      <c r="T8" s="125"/>
      <c r="U8" s="125"/>
      <c r="V8" s="125"/>
    </row>
    <row r="9" spans="1:22" ht="22.2" customHeight="1" x14ac:dyDescent="0.25">
      <c r="A9" s="125"/>
      <c r="B9" s="125"/>
      <c r="C9" s="125"/>
      <c r="D9" s="125"/>
      <c r="E9" s="125"/>
      <c r="F9" s="125"/>
      <c r="G9" s="171"/>
      <c r="H9" s="125"/>
      <c r="I9" s="125"/>
      <c r="J9" s="125"/>
      <c r="K9" s="125"/>
      <c r="L9" s="125"/>
      <c r="M9" s="125"/>
      <c r="N9" s="125"/>
      <c r="O9" s="125"/>
      <c r="P9" s="125"/>
      <c r="Q9" s="121"/>
      <c r="R9" s="121"/>
      <c r="S9" s="125"/>
      <c r="T9" s="125"/>
      <c r="U9" s="172"/>
      <c r="V9" s="172"/>
    </row>
    <row r="10" spans="1:22" s="173" customFormat="1" ht="16.95" customHeight="1" thickBot="1" x14ac:dyDescent="0.3">
      <c r="C10" s="174"/>
      <c r="D10" s="174"/>
      <c r="E10" s="174"/>
      <c r="F10" s="174"/>
      <c r="G10" s="175"/>
      <c r="H10" s="175"/>
      <c r="I10" s="176"/>
      <c r="Q10" s="121"/>
      <c r="R10" s="177"/>
      <c r="S10" s="125"/>
      <c r="T10" s="172"/>
      <c r="U10" s="121"/>
      <c r="V10" s="125"/>
    </row>
    <row r="11" spans="1:22" ht="24.6" customHeight="1" thickBot="1" x14ac:dyDescent="0.3">
      <c r="A11" s="125"/>
      <c r="B11" s="492" t="s">
        <v>233</v>
      </c>
      <c r="C11" s="493"/>
      <c r="D11" s="493"/>
      <c r="E11" s="493"/>
      <c r="F11" s="493"/>
      <c r="G11" s="493"/>
      <c r="H11" s="493"/>
      <c r="I11" s="493"/>
      <c r="J11" s="493"/>
      <c r="K11" s="494"/>
      <c r="L11" s="178"/>
      <c r="M11" s="179"/>
      <c r="N11" s="179"/>
      <c r="O11" s="179"/>
      <c r="P11" s="180"/>
      <c r="Q11" s="121"/>
      <c r="R11" s="121"/>
      <c r="S11" s="125"/>
      <c r="T11" s="121"/>
      <c r="U11" s="121"/>
      <c r="V11" s="121"/>
    </row>
    <row r="12" spans="1:22" s="121" customFormat="1" ht="12.6" customHeight="1" thickBot="1" x14ac:dyDescent="0.3">
      <c r="B12" s="181"/>
      <c r="C12" s="182"/>
      <c r="D12" s="182"/>
      <c r="E12" s="182"/>
      <c r="F12" s="182"/>
      <c r="G12" s="182"/>
      <c r="H12" s="182"/>
      <c r="I12" s="182"/>
      <c r="J12" s="182"/>
      <c r="K12" s="182"/>
      <c r="L12" s="182"/>
      <c r="M12" s="182"/>
      <c r="N12" s="182"/>
      <c r="O12" s="182"/>
      <c r="P12" s="183"/>
      <c r="V12" s="125"/>
    </row>
    <row r="13" spans="1:22" s="125" customFormat="1" ht="69.599999999999994" thickBot="1" x14ac:dyDescent="0.3">
      <c r="B13" s="184" t="s">
        <v>234</v>
      </c>
      <c r="C13" s="537" t="s">
        <v>235</v>
      </c>
      <c r="D13" s="538"/>
      <c r="E13" s="538"/>
      <c r="F13" s="539"/>
      <c r="G13" s="185" t="s">
        <v>236</v>
      </c>
      <c r="H13" s="186" t="s">
        <v>237</v>
      </c>
      <c r="I13" s="186" t="s">
        <v>238</v>
      </c>
      <c r="J13" s="187" t="s">
        <v>239</v>
      </c>
      <c r="K13" s="188" t="s">
        <v>240</v>
      </c>
      <c r="L13" s="189" t="s">
        <v>241</v>
      </c>
      <c r="M13" s="190" t="s">
        <v>242</v>
      </c>
      <c r="N13" s="190" t="s">
        <v>243</v>
      </c>
      <c r="O13" s="191" t="s">
        <v>244</v>
      </c>
      <c r="P13" s="192" t="s">
        <v>145</v>
      </c>
      <c r="Q13" s="193"/>
      <c r="R13" s="194"/>
      <c r="T13" s="121"/>
      <c r="U13" s="121"/>
      <c r="V13" s="173"/>
    </row>
    <row r="14" spans="1:22" s="173" customFormat="1" ht="21.6" customHeight="1" thickBot="1" x14ac:dyDescent="0.3">
      <c r="B14" s="195" t="s">
        <v>245</v>
      </c>
      <c r="C14" s="196"/>
      <c r="D14" s="197"/>
      <c r="E14" s="197"/>
      <c r="F14" s="197"/>
      <c r="G14" s="198">
        <f>G20+G28+G33</f>
        <v>284</v>
      </c>
      <c r="H14" s="199">
        <f>IF(G20+G28+G33=0,0,(I20+I28+I33)/(G20+G28+G33))</f>
        <v>180.35699344582346</v>
      </c>
      <c r="I14" s="200">
        <f>I20+I33+I28</f>
        <v>51221.38613861386</v>
      </c>
      <c r="J14" s="201">
        <f>J20+J33+J28</f>
        <v>0</v>
      </c>
      <c r="K14" s="202">
        <f>K20+K33+K28</f>
        <v>51221.38613861386</v>
      </c>
      <c r="L14" s="203">
        <f>L20+L33+L28</f>
        <v>0</v>
      </c>
      <c r="M14" s="199">
        <f>M20+M33+M28</f>
        <v>0</v>
      </c>
      <c r="N14" s="200">
        <f t="shared" ref="N14:O14" si="0">N20+N33+N28</f>
        <v>0</v>
      </c>
      <c r="O14" s="199">
        <f t="shared" si="0"/>
        <v>0</v>
      </c>
      <c r="P14" s="202">
        <f>P20+P33+P28</f>
        <v>0</v>
      </c>
      <c r="Q14" s="204">
        <f>IF($K$73=0,0,K14/$K$73)</f>
        <v>0.86086363258174559</v>
      </c>
      <c r="R14" s="205" t="s">
        <v>246</v>
      </c>
      <c r="S14" s="125"/>
      <c r="T14" s="121"/>
      <c r="U14" s="121"/>
      <c r="V14" s="125"/>
    </row>
    <row r="15" spans="1:22" s="125" customFormat="1" ht="16.95" customHeight="1" outlineLevel="1" x14ac:dyDescent="0.25">
      <c r="B15" s="206" t="s">
        <v>247</v>
      </c>
      <c r="C15" s="207" t="s">
        <v>248</v>
      </c>
      <c r="D15" s="208"/>
      <c r="E15" s="208"/>
      <c r="F15" s="209"/>
      <c r="G15" s="210"/>
      <c r="H15" s="211"/>
      <c r="I15" s="210"/>
      <c r="J15" s="210"/>
      <c r="K15" s="212"/>
      <c r="L15" s="213"/>
      <c r="M15" s="211"/>
      <c r="N15" s="211"/>
      <c r="O15" s="211"/>
      <c r="P15" s="212"/>
      <c r="Q15" s="214"/>
      <c r="R15" s="215"/>
      <c r="S15" s="215"/>
      <c r="T15" s="215"/>
      <c r="U15" s="141"/>
      <c r="V15" s="173"/>
    </row>
    <row r="16" spans="1:22" s="173" customFormat="1" ht="16.95" customHeight="1" outlineLevel="1" x14ac:dyDescent="0.25">
      <c r="B16" s="216" t="s">
        <v>249</v>
      </c>
      <c r="C16" s="534" t="s">
        <v>79</v>
      </c>
      <c r="D16" s="535"/>
      <c r="E16" s="535"/>
      <c r="F16" s="536"/>
      <c r="G16" s="436">
        <f>SUMIF(Enseignements!$F$7:$F$132,Paramétrage!$C$6,Enseignements!T$7:T$132)+SUMIF(Enseignements!$F$7:$F$132,Paramétrage!$C$7,Enseignements!T$7:T$132)+SUMIF(Enseignements!$F$7:$F$132,Paramétrage!$C$8,Enseignements!T$7:T$132)+SUMIF(Enseignements!$F$7:$F$132,Paramétrage!$C$10,Enseignements!T$7:T$132)+SUMIF(Enseignements!$F$7:$F$132,Paramétrage!$C$11,Enseignements!T$7:T$132)+SUMIF(Enseignements!$F$7:$F$132,Paramétrage!$C$13,Enseignements!T$7:T$132)+SUMIF(Enseignements!$F$7:$F$132,Paramétrage!$C$14,Enseignements!T$7:T$132)+SUMIF(Enseignements!$F$7:$F$132,Paramétrage!$C$16,Enseignements!T$7:T$132)+SUMIF(Enseignements!$F$7:$F$132,Paramétrage!$C$17,Enseignements!T$7:T$132)+SUMIF(Enseignements!$F$7:$F$132,Paramétrage!$C$19,Enseignements!T$7:T$132)+SUMIF(Enseignements!$F$7:$F$132,Paramétrage!$C$20,Enseignements!T$7:T$132)+SUMIF(Enseignements!$F$7:$F$132,Paramétrage!$C$23,Enseignements!T$7:T$132)+SUMIF(Enseignements!$F$7:$F$132,Paramétrage!$C$24,Enseignements!T$7:T$132)+SUMIF(Enseignements!$F$7:$F$132,Paramétrage!$C$26,Enseignements!T$7:T$132)+SUMIF(Enseignements!$F$7:$F$132,Paramétrage!$C$27,Enseignements!T$7:T$132)</f>
        <v>131</v>
      </c>
      <c r="H16" s="218">
        <v>220</v>
      </c>
      <c r="I16" s="219">
        <f>H16*G16</f>
        <v>28820</v>
      </c>
      <c r="J16" s="219">
        <f>I16-K16</f>
        <v>0</v>
      </c>
      <c r="K16" s="220">
        <f>IF($E$7=0,0,I16/$E$7*$E$8)</f>
        <v>28820</v>
      </c>
      <c r="L16" s="221"/>
      <c r="M16" s="131"/>
      <c r="N16" s="131"/>
      <c r="O16" s="131"/>
      <c r="P16" s="222">
        <f>SUM(L16:O16)</f>
        <v>0</v>
      </c>
      <c r="Q16" s="223">
        <f>IF($I16=0,0,$G16*$J16/$I16)</f>
        <v>0</v>
      </c>
      <c r="R16" s="223"/>
      <c r="S16" s="223"/>
      <c r="T16" s="223"/>
      <c r="U16" s="223"/>
      <c r="V16" s="224"/>
    </row>
    <row r="17" spans="2:23" s="173" customFormat="1" ht="16.95" customHeight="1" outlineLevel="1" x14ac:dyDescent="0.25">
      <c r="B17" s="216" t="s">
        <v>250</v>
      </c>
      <c r="C17" s="534" t="s">
        <v>80</v>
      </c>
      <c r="D17" s="535"/>
      <c r="E17" s="535"/>
      <c r="F17" s="536"/>
      <c r="G17" s="437">
        <f>SUMIF(Enseignements!$F$7:$F$132,Paramétrage!$C$6,Enseignements!U$7:U$132)+SUMIF(Enseignements!$F$7:$F$132,Paramétrage!$C$7,Enseignements!U$7:U$132)+SUMIF(Enseignements!$F$7:$F$132,Paramétrage!$C$8,Enseignements!U$7:U$132)+SUMIF(Enseignements!$F$7:$F$132,Paramétrage!$C$10,Enseignements!U$7:U$132)+SUMIF(Enseignements!$F$7:$F$132,Paramétrage!$C$11,Enseignements!U$7:U$132)+SUMIF(Enseignements!$F$7:$F$132,Paramétrage!$C$13,Enseignements!U$7:U$132)+SUMIF(Enseignements!$F$7:$F$132,Paramétrage!$C$14,Enseignements!U$7:U$132)+SUMIF(Enseignements!$F$7:$F$132,Paramétrage!$C$16,Enseignements!U$7:U$132)+SUMIF(Enseignements!$F$7:$F$132,Paramétrage!$C$17,Enseignements!U$7:U$132)+SUMIF(Enseignements!$F$7:$F$132,Paramétrage!$C$19,Enseignements!U$7:U$132)+SUMIF(Enseignements!$F$7:$F$132,Paramétrage!$C$20,Enseignements!U$7:U$132)+SUMIF(Enseignements!$F$7:$F$132,Paramétrage!$C$23,Enseignements!U$7:U$132)+SUMIF(Enseignements!$F$7:$F$132,Paramétrage!$C$24,Enseignements!U$7:U$132)+SUMIF(Enseignements!$F$7:$F$132,Paramétrage!$C$26,Enseignements!U$7:U$132)+SUMIF(Enseignements!$F$7:$F$132,Paramétrage!$C$27,Enseignements!U$7:U$132)</f>
        <v>15</v>
      </c>
      <c r="H17" s="218">
        <v>188</v>
      </c>
      <c r="I17" s="226">
        <f>H17*G17</f>
        <v>2820</v>
      </c>
      <c r="J17" s="219">
        <f t="shared" ref="J17:J19" si="1">I17-K17</f>
        <v>0</v>
      </c>
      <c r="K17" s="220">
        <f t="shared" ref="K17:K19" si="2">IF($E$7=0,0,I17/$E$7*$E$8)</f>
        <v>2820</v>
      </c>
      <c r="L17" s="221"/>
      <c r="M17" s="131"/>
      <c r="N17" s="131"/>
      <c r="O17" s="131"/>
      <c r="P17" s="227">
        <f>SUM(L17:O17)</f>
        <v>0</v>
      </c>
      <c r="Q17" s="223">
        <f>IF($I17=0,0,$G17*$J17/$I17)</f>
        <v>0</v>
      </c>
      <c r="R17" s="223"/>
      <c r="S17" s="223"/>
      <c r="T17" s="223"/>
      <c r="U17" s="223"/>
      <c r="V17" s="224"/>
    </row>
    <row r="18" spans="2:23" s="173" customFormat="1" ht="16.95" customHeight="1" outlineLevel="1" x14ac:dyDescent="0.25">
      <c r="B18" s="216" t="s">
        <v>251</v>
      </c>
      <c r="C18" s="534" t="s">
        <v>252</v>
      </c>
      <c r="D18" s="535"/>
      <c r="E18" s="535"/>
      <c r="F18" s="536"/>
      <c r="G18" s="225">
        <f>SUMIF(Enseignements!$F$7:$F$132,Paramétrage!$C$6,Enseignements!V$7:V$132)+SUMIF(Enseignements!$F$7:$F$132,Paramétrage!$C$7,Enseignements!V$7:V$132)+SUMIF(Enseignements!$F$7:$F$132,Paramétrage!$C$8,Enseignements!V$7:V$132)+SUMIF(Enseignements!$F$7:$F$132,Paramétrage!$C$10,Enseignements!V$7:V$132)+SUMIF(Enseignements!$F$7:$F$132,Paramétrage!$C$11,Enseignements!V$7:V$132)+SUMIF(Enseignements!$F$7:$F$132,Paramétrage!$C$13,Enseignements!V$7:V$132)+SUMIF(Enseignements!$F$7:$F$132,Paramétrage!$C$14,Enseignements!V$7:V$132)+SUMIF(Enseignements!$F$7:$F$132,Paramétrage!$C$16,Enseignements!V$7:V$132)+SUMIF(Enseignements!$F$7:$F$132,Paramétrage!$C$17,Enseignements!V$7:V$132)+SUMIF(Enseignements!$F$7:$F$132,Paramétrage!$C$19,Enseignements!V$7:V$132)+SUMIF(Enseignements!$F$7:$F$132,Paramétrage!$C$20,Enseignements!V$7:V$132)+SUMIF(Enseignements!$F$7:$F$132,Paramétrage!$C$23,Enseignements!V$7:V$132)+SUMIF(Enseignements!$F$7:$F$132,Paramétrage!$C$24,Enseignements!V$7:V$132)+SUMIF(Enseignements!$F$7:$F$132,Paramétrage!$C$26,Enseignements!V$7:V$132)+SUMIF(Enseignements!$F$7:$F$132,Paramétrage!$C$27,Enseignements!V$7:V$132)</f>
        <v>56</v>
      </c>
      <c r="H18" s="218">
        <v>52</v>
      </c>
      <c r="I18" s="226">
        <f>H18*G18</f>
        <v>2912</v>
      </c>
      <c r="J18" s="219">
        <f t="shared" si="1"/>
        <v>0</v>
      </c>
      <c r="K18" s="220">
        <f t="shared" si="2"/>
        <v>2912</v>
      </c>
      <c r="L18" s="221"/>
      <c r="M18" s="131"/>
      <c r="N18" s="131"/>
      <c r="O18" s="131"/>
      <c r="P18" s="227">
        <f>SUM(L18:O18)</f>
        <v>0</v>
      </c>
      <c r="Q18" s="223">
        <f>IF($I18=0,0,$G18*$J18/$I18)</f>
        <v>0</v>
      </c>
      <c r="R18" s="223"/>
      <c r="S18" s="223"/>
      <c r="T18" s="223"/>
      <c r="U18" s="223"/>
      <c r="V18" s="224"/>
    </row>
    <row r="19" spans="2:23" s="173" customFormat="1" ht="18.600000000000001" customHeight="1" outlineLevel="1" x14ac:dyDescent="0.25">
      <c r="B19" s="216" t="s">
        <v>253</v>
      </c>
      <c r="C19" s="534" t="s">
        <v>254</v>
      </c>
      <c r="D19" s="535"/>
      <c r="E19" s="535"/>
      <c r="F19" s="536"/>
      <c r="G19" s="225">
        <f>SUMIF(Enseignements!$F$7:$F$132,Paramétrage!$C$6,Enseignements!W$7:W$132)+SUMIF(Enseignements!$F$7:$F$132,Paramétrage!$C$7,Enseignements!W$7:W$132)+SUMIF(Enseignements!$F$7:$F$132,Paramétrage!$C$8,Enseignements!W$7:W$132)+SUMIF(Enseignements!$F$7:$F$132,Paramétrage!$C$10,Enseignements!W$7:W$132)+SUMIF(Enseignements!$F$7:$F$132,Paramétrage!$C$11,Enseignements!W$7:W$132)+SUMIF(Enseignements!$F$7:$F$132,Paramétrage!$C$13,Enseignements!W$7:W$132)+SUMIF(Enseignements!$F$7:$F$132,Paramétrage!$C$14,Enseignements!W$7:W$132)+SUMIF(Enseignements!$F$7:$F$132,Paramétrage!$C$16,Enseignements!W$7:W$132)+SUMIF(Enseignements!$F$7:$F$132,Paramétrage!$C$17,Enseignements!W$7:W$132)+SUMIF(Enseignements!$F$7:$F$132,Paramétrage!$C$19,Enseignements!W$7:W$132)+SUMIF(Enseignements!$F$7:$F$132,Paramétrage!$C$20,Enseignements!W$7:W$132)+SUMIF(Enseignements!$F$7:$F$132,Paramétrage!$C$23,Enseignements!W$7:W$132)+SUMIF(Enseignements!$F$7:$F$132,Paramétrage!$C$24,Enseignements!W$7:W$132)+SUMIF(Enseignements!$F$7:$F$132,Paramétrage!$C$26,Enseignements!W$7:W$132)+SUMIF(Enseignements!$F$7:$F$132,Paramétrage!$C$27,Enseignements!W$7:W$132)</f>
        <v>0</v>
      </c>
      <c r="H19" s="228"/>
      <c r="I19" s="226">
        <f t="shared" ref="I19" si="3">H19*G19</f>
        <v>0</v>
      </c>
      <c r="J19" s="219">
        <f t="shared" si="1"/>
        <v>0</v>
      </c>
      <c r="K19" s="220">
        <f t="shared" si="2"/>
        <v>0</v>
      </c>
      <c r="L19" s="221"/>
      <c r="M19" s="221"/>
      <c r="N19" s="229"/>
      <c r="O19" s="131"/>
      <c r="P19" s="227">
        <f>SUM(L19:O19)</f>
        <v>0</v>
      </c>
      <c r="Q19" s="223">
        <f>IF($I19=0,0,$G19*$J19/$I19)</f>
        <v>0</v>
      </c>
      <c r="R19" s="223"/>
      <c r="S19" s="223"/>
      <c r="T19" s="223"/>
      <c r="U19" s="223"/>
      <c r="V19" s="224"/>
    </row>
    <row r="20" spans="2:23" s="173" customFormat="1" ht="22.2" customHeight="1" outlineLevel="1" thickBot="1" x14ac:dyDescent="0.3">
      <c r="B20" s="540" t="s">
        <v>255</v>
      </c>
      <c r="C20" s="541"/>
      <c r="D20" s="541"/>
      <c r="E20" s="541"/>
      <c r="F20" s="542"/>
      <c r="G20" s="230">
        <f>SUM(G16:G19)</f>
        <v>202</v>
      </c>
      <c r="H20" s="231">
        <f>IF(G20=0,0,I20/G20)</f>
        <v>171.04950495049505</v>
      </c>
      <c r="I20" s="232">
        <f>SUM(I16:I19)</f>
        <v>34552</v>
      </c>
      <c r="J20" s="233">
        <f>SUM(J16:J19)</f>
        <v>0</v>
      </c>
      <c r="K20" s="234">
        <f>SUM(K16:K19)</f>
        <v>34552</v>
      </c>
      <c r="L20" s="235">
        <f>SUM(L16:L19)</f>
        <v>0</v>
      </c>
      <c r="M20" s="232">
        <f>SUM(M16:M19)</f>
        <v>0</v>
      </c>
      <c r="N20" s="232">
        <f t="shared" ref="N20:P20" si="4">SUM(N16:N19)</f>
        <v>0</v>
      </c>
      <c r="O20" s="232">
        <f t="shared" si="4"/>
        <v>0</v>
      </c>
      <c r="P20" s="234">
        <f t="shared" si="4"/>
        <v>0</v>
      </c>
      <c r="Q20" s="204">
        <f>IF($K$73=0,0,K20/$K$73)</f>
        <v>0.58070588235294118</v>
      </c>
      <c r="R20" s="205" t="s">
        <v>246</v>
      </c>
      <c r="S20" s="125"/>
      <c r="T20" s="121"/>
      <c r="U20" s="121"/>
      <c r="V20" s="125"/>
    </row>
    <row r="21" spans="2:23" s="125" customFormat="1" ht="16.95" customHeight="1" outlineLevel="1" x14ac:dyDescent="0.25">
      <c r="B21" s="206" t="s">
        <v>5</v>
      </c>
      <c r="C21" s="207" t="s">
        <v>6</v>
      </c>
      <c r="D21" s="208"/>
      <c r="E21" s="208"/>
      <c r="F21" s="209"/>
      <c r="G21" s="210"/>
      <c r="H21" s="211"/>
      <c r="I21" s="210"/>
      <c r="J21" s="210"/>
      <c r="K21" s="212"/>
      <c r="L21" s="213"/>
      <c r="M21" s="211"/>
      <c r="N21" s="211"/>
      <c r="O21" s="211"/>
      <c r="P21" s="212"/>
      <c r="Q21" s="236"/>
      <c r="R21" s="121"/>
      <c r="S21" s="121"/>
      <c r="T21" s="121"/>
      <c r="U21" s="173"/>
      <c r="V21" s="173"/>
    </row>
    <row r="22" spans="2:23" s="173" customFormat="1" ht="16.95" customHeight="1" outlineLevel="1" x14ac:dyDescent="0.25">
      <c r="B22" s="216" t="s">
        <v>7</v>
      </c>
      <c r="C22" s="237" t="s">
        <v>256</v>
      </c>
      <c r="D22" s="238"/>
      <c r="E22" s="238"/>
      <c r="F22" s="239"/>
      <c r="G22" s="217">
        <f>SUMIF(Enseignements!$F$7:$F$132,Paramétrage!$C$15,Enseignements!X$7:X$132)</f>
        <v>0</v>
      </c>
      <c r="H22" s="218">
        <f>IF(G22=0,0,(SUMIF(Enseignements!$F$7:$F$132,Paramétrage!$C$15,Enseignements!T$7:T$132)*$H$16+SUMIF(Enseignements!$F$7:$F$132,Paramétrage!$C$15,Enseignements!U$7:U$132)*$H$17+SUMIF(Enseignements!$F$7:$F$132,Paramétrage!$C$15,Enseignements!V$7:V$132)*$H$18+SUMIF(Enseignements!$F$7:$F$132,Paramétrage!$C$15,Enseignements!W$7:W$132)*$H$19)/G22)</f>
        <v>0</v>
      </c>
      <c r="I22" s="219">
        <f t="shared" ref="I22:I27" si="5">H22*G22</f>
        <v>0</v>
      </c>
      <c r="J22" s="226">
        <f>I22-K22</f>
        <v>0</v>
      </c>
      <c r="K22" s="220">
        <f t="shared" ref="K22" si="6">IF($E$7=0,0,I22/$E$7*$E$8)</f>
        <v>0</v>
      </c>
      <c r="L22" s="221"/>
      <c r="M22" s="229"/>
      <c r="N22" s="229"/>
      <c r="O22" s="131"/>
      <c r="P22" s="222">
        <f>SUM(L22:O22)</f>
        <v>0</v>
      </c>
      <c r="Q22" s="223">
        <f>IF($I22=0,0,$G22*$J22/$I22)</f>
        <v>0</v>
      </c>
      <c r="R22" s="223"/>
      <c r="S22" s="223"/>
      <c r="T22" s="223"/>
      <c r="U22" s="223"/>
      <c r="V22" s="223"/>
      <c r="W22" s="141"/>
    </row>
    <row r="23" spans="2:23" s="173" customFormat="1" ht="16.95" customHeight="1" outlineLevel="1" x14ac:dyDescent="0.25">
      <c r="B23" s="216" t="s">
        <v>12</v>
      </c>
      <c r="C23" s="534" t="s">
        <v>13</v>
      </c>
      <c r="D23" s="535"/>
      <c r="E23" s="535"/>
      <c r="F23" s="536"/>
      <c r="G23" s="217">
        <v>28</v>
      </c>
      <c r="H23" s="218">
        <v>220</v>
      </c>
      <c r="I23" s="219">
        <f t="shared" si="5"/>
        <v>6160</v>
      </c>
      <c r="J23" s="219">
        <f>I23-K23</f>
        <v>0</v>
      </c>
      <c r="K23" s="220">
        <f>IF($E$7=0,0,I23/$E$7*$E$8)</f>
        <v>6160</v>
      </c>
      <c r="L23" s="131"/>
      <c r="M23" s="131"/>
      <c r="N23" s="131"/>
      <c r="O23" s="131"/>
      <c r="P23" s="227">
        <f>SUM(L23:O23)</f>
        <v>0</v>
      </c>
      <c r="Q23" s="223">
        <f>IF($I23=0,0,$G23*$J23/$I23)</f>
        <v>0</v>
      </c>
      <c r="R23" s="223"/>
      <c r="S23" s="223"/>
      <c r="T23" s="223"/>
      <c r="U23" s="223"/>
      <c r="V23" s="223"/>
      <c r="W23" s="141"/>
    </row>
    <row r="24" spans="2:23" s="173" customFormat="1" ht="24.6" customHeight="1" outlineLevel="1" x14ac:dyDescent="0.25">
      <c r="B24" s="216" t="s">
        <v>16</v>
      </c>
      <c r="C24" s="446" t="s">
        <v>257</v>
      </c>
      <c r="D24" s="238"/>
      <c r="E24" s="238"/>
      <c r="F24" s="239"/>
      <c r="G24" s="217">
        <v>14</v>
      </c>
      <c r="H24" s="218">
        <v>220</v>
      </c>
      <c r="I24" s="219">
        <f t="shared" si="5"/>
        <v>3080</v>
      </c>
      <c r="J24" s="219">
        <f>I24-K24</f>
        <v>0</v>
      </c>
      <c r="K24" s="220">
        <f>IF($E$7=0,0,I24/$E$7*$E$8)</f>
        <v>3080</v>
      </c>
      <c r="L24" s="131"/>
      <c r="M24" s="131"/>
      <c r="N24" s="131"/>
      <c r="O24" s="131"/>
      <c r="P24" s="227"/>
      <c r="Q24" s="223"/>
      <c r="R24" s="223"/>
      <c r="S24" s="223"/>
      <c r="T24" s="223"/>
      <c r="U24" s="223"/>
      <c r="V24" s="223"/>
      <c r="W24" s="141"/>
    </row>
    <row r="25" spans="2:23" s="173" customFormat="1" ht="16.95" customHeight="1" outlineLevel="1" x14ac:dyDescent="0.25">
      <c r="B25" s="216" t="s">
        <v>19</v>
      </c>
      <c r="C25" s="534" t="s">
        <v>258</v>
      </c>
      <c r="D25" s="535"/>
      <c r="E25" s="535"/>
      <c r="F25" s="536"/>
      <c r="G25" s="217">
        <f>SUMIF(Enseignements!$F$7:$F$132,Paramétrage!$C$9,Enseignements!X$7:X$132)</f>
        <v>0</v>
      </c>
      <c r="H25" s="218">
        <f>IF(G25=0,0,(SUMIF(Enseignements!$F$7:$F$132,Paramétrage!$C$19,Enseignements!T$7:T$132)*$H$16+SUMIF(Enseignements!$F$7:$F$132,Paramétrage!$C$19,Enseignements!U$7:U$132)*$H$17+SUMIF(Enseignements!$F$7:$F$132,Paramétrage!$C$19,Enseignements!V$7:V$132)*$H$18+SUMIF(Enseignements!$F$7:$F$132,Paramétrage!$C$19,Enseignements!W$7:W$132)*$H$19)/G25)</f>
        <v>0</v>
      </c>
      <c r="I25" s="219">
        <f t="shared" si="5"/>
        <v>0</v>
      </c>
      <c r="J25" s="226">
        <f>I25</f>
        <v>0</v>
      </c>
      <c r="K25" s="220">
        <v>0</v>
      </c>
      <c r="L25" s="221"/>
      <c r="M25" s="131"/>
      <c r="N25" s="131"/>
      <c r="O25" s="131"/>
      <c r="P25" s="227">
        <f>SUM(L25:O25)</f>
        <v>0</v>
      </c>
      <c r="Q25" s="223">
        <f>IF($I25=0,0,$G25*$J25/$I25)</f>
        <v>0</v>
      </c>
      <c r="R25" s="223"/>
      <c r="S25" s="223"/>
      <c r="T25" s="223"/>
      <c r="U25" s="223"/>
      <c r="V25" s="223"/>
      <c r="W25" s="141"/>
    </row>
    <row r="26" spans="2:23" s="173" customFormat="1" ht="16.95" customHeight="1" outlineLevel="1" x14ac:dyDescent="0.25">
      <c r="B26" s="216" t="s">
        <v>22</v>
      </c>
      <c r="C26" s="534" t="s">
        <v>20</v>
      </c>
      <c r="D26" s="535"/>
      <c r="E26" s="535"/>
      <c r="F26" s="536"/>
      <c r="G26" s="217">
        <f>SUMIF(Enseignements!$F$7:$F$132,Paramétrage!$C$12,Enseignements!X$7:X$132)</f>
        <v>0</v>
      </c>
      <c r="H26" s="218">
        <f>IF(G26=0,0,(SUMIF(Enseignements!$F$7:$F$132,Paramétrage!$C$12,Enseignements!T$7:T$132)*$H$16+SUMIF(Enseignements!$F$7:$F$132,Paramétrage!$C$12,Enseignements!U$7:U$132)*$H$17+SUMIF(Enseignements!$F$7:$F$132,Paramétrage!$C$12,Enseignements!V$7:V$132)*$H$18+SUMIF(Enseignements!$F$7:$F$132,Paramétrage!$C$12,Enseignements!W$7:W$132)*$H$19)/G26)</f>
        <v>0</v>
      </c>
      <c r="I26" s="219">
        <f t="shared" si="5"/>
        <v>0</v>
      </c>
      <c r="J26" s="219">
        <f>I26-K26</f>
        <v>0</v>
      </c>
      <c r="K26" s="220">
        <f>I26</f>
        <v>0</v>
      </c>
      <c r="L26" s="221"/>
      <c r="M26" s="229"/>
      <c r="N26" s="229"/>
      <c r="O26" s="131"/>
      <c r="P26" s="227">
        <f>SUM(L26:O26)</f>
        <v>0</v>
      </c>
      <c r="Q26" s="223">
        <f>IF($I26=0,0,$G26*$J26/$I26)</f>
        <v>0</v>
      </c>
      <c r="R26" s="223"/>
      <c r="S26" s="223"/>
      <c r="T26" s="223"/>
      <c r="U26" s="223"/>
      <c r="V26" s="223"/>
      <c r="W26" s="141"/>
    </row>
    <row r="27" spans="2:23" s="173" customFormat="1" ht="16.95" customHeight="1" outlineLevel="1" x14ac:dyDescent="0.25">
      <c r="B27" s="216" t="s">
        <v>259</v>
      </c>
      <c r="C27" s="534" t="s">
        <v>260</v>
      </c>
      <c r="D27" s="535"/>
      <c r="E27" s="535"/>
      <c r="F27" s="536"/>
      <c r="G27" s="217">
        <f>SUMIF(Enseignements!$F$7:$F$132,Paramétrage!$C$22,Enseignements!X$7:X$132)+SUMIF(Enseignements!$F$7:$F$132,Paramétrage!$C$25,Enseignements!X$7:X$132)</f>
        <v>0</v>
      </c>
      <c r="H27" s="218">
        <f>IF(G27=0,0,(SUMIF(Enseignements!$F$7:$F$132,Paramétrage!$C$22,Enseignements!T$7:T$132)*$H$16+SUMIF(Enseignements!$F$7:$F$132,Paramétrage!$C$22,Enseignements!U$7:U$132)*$H$17+SUMIF(Enseignements!$F$7:$F$132,Paramétrage!$C$22,Enseignements!V$7:V$132)*$H$18+SUMIF(Enseignements!$F$7:$F$132,Paramétrage!$C$22,Enseignements!W$7:W$132)*$H$19)/G27)+IF(G27=0,0,(SUMIF(Enseignements!$F$7:$F$132,Paramétrage!$C$25,Enseignements!T$7:T$132)*$H$16+SUMIF(Enseignements!$F$7:$F$132,Paramétrage!$C$25,Enseignements!U$7:U$132)*$H$17+SUMIF(Enseignements!$F$7:$F$132,Paramétrage!$C$25,Enseignements!V$7:V$132)*$H$18+SUMIF(Enseignements!$F$7:$F$132,Paramétrage!$C$25,Enseignements!W$7:W$132)*$H$19)/G27)</f>
        <v>0</v>
      </c>
      <c r="I27" s="219">
        <f t="shared" si="5"/>
        <v>0</v>
      </c>
      <c r="J27" s="219">
        <f>I27-K27</f>
        <v>0</v>
      </c>
      <c r="K27" s="220">
        <f t="shared" ref="K27" si="7">IF($E$7=0,0,I27/$E$7*$E$8)</f>
        <v>0</v>
      </c>
      <c r="L27" s="131"/>
      <c r="M27" s="131"/>
      <c r="N27" s="131"/>
      <c r="O27" s="131"/>
      <c r="P27" s="227">
        <f>SUM(L27:O27)</f>
        <v>0</v>
      </c>
      <c r="Q27" s="223">
        <f>IF($I27=0,0,$G27*$J27/$I27)</f>
        <v>0</v>
      </c>
      <c r="R27" s="223"/>
      <c r="S27" s="223"/>
      <c r="T27" s="223"/>
      <c r="U27" s="223"/>
      <c r="V27" s="223"/>
      <c r="W27" s="141"/>
    </row>
    <row r="28" spans="2:23" s="173" customFormat="1" ht="21.6" customHeight="1" outlineLevel="1" thickBot="1" x14ac:dyDescent="0.3">
      <c r="B28" s="540" t="s">
        <v>261</v>
      </c>
      <c r="C28" s="541"/>
      <c r="D28" s="541"/>
      <c r="E28" s="541"/>
      <c r="F28" s="542"/>
      <c r="G28" s="230">
        <f>SUM(G22:G27)</f>
        <v>42</v>
      </c>
      <c r="H28" s="231">
        <f>IF(G28=0,0,I28/G28)</f>
        <v>220</v>
      </c>
      <c r="I28" s="231">
        <f>SUM(I22:I27)</f>
        <v>9240</v>
      </c>
      <c r="J28" s="231">
        <f t="shared" ref="J28:K28" si="8">SUM(J22:J27)</f>
        <v>0</v>
      </c>
      <c r="K28" s="231">
        <f t="shared" si="8"/>
        <v>9240</v>
      </c>
      <c r="L28" s="240">
        <f>SUM(L22:L27)</f>
        <v>0</v>
      </c>
      <c r="M28" s="241">
        <f>SUM(M22:M27)</f>
        <v>0</v>
      </c>
      <c r="N28" s="242">
        <f t="shared" ref="N28:O28" si="9">SUM(N22:N27)</f>
        <v>0</v>
      </c>
      <c r="O28" s="232">
        <f t="shared" si="9"/>
        <v>0</v>
      </c>
      <c r="P28" s="234">
        <f t="shared" ref="P28" si="10">SUM(P22:P26)</f>
        <v>0</v>
      </c>
      <c r="Q28" s="204">
        <f>IF($K$73=0,0,K28/$K$73)</f>
        <v>0.15529411764705883</v>
      </c>
      <c r="R28" s="205" t="s">
        <v>246</v>
      </c>
      <c r="S28" s="125"/>
      <c r="T28" s="172"/>
    </row>
    <row r="29" spans="2:23" s="173" customFormat="1" ht="16.95" customHeight="1" outlineLevel="1" x14ac:dyDescent="0.25">
      <c r="B29" s="243" t="s">
        <v>25</v>
      </c>
      <c r="C29" s="244" t="s">
        <v>26</v>
      </c>
      <c r="D29" s="171"/>
      <c r="E29" s="171"/>
      <c r="F29" s="245"/>
      <c r="G29" s="246"/>
      <c r="H29" s="247"/>
      <c r="I29" s="246"/>
      <c r="J29" s="246"/>
      <c r="K29" s="248"/>
      <c r="L29" s="249"/>
      <c r="M29" s="250"/>
      <c r="N29" s="250"/>
      <c r="O29" s="250"/>
      <c r="P29" s="251"/>
      <c r="Q29" s="214"/>
      <c r="R29" s="252">
        <f t="shared" ref="R29:U29" si="11">IF($I29=0,0,IF($P29=0,0,$G29*$J29/$I29*L29/$P29))</f>
        <v>0</v>
      </c>
      <c r="S29" s="252">
        <f t="shared" si="11"/>
        <v>0</v>
      </c>
      <c r="T29" s="252">
        <f t="shared" si="11"/>
        <v>0</v>
      </c>
      <c r="U29" s="253">
        <f t="shared" si="11"/>
        <v>0</v>
      </c>
      <c r="V29" s="254"/>
    </row>
    <row r="30" spans="2:23" s="173" customFormat="1" ht="16.95" customHeight="1" outlineLevel="1" x14ac:dyDescent="0.25">
      <c r="B30" s="216" t="s">
        <v>27</v>
      </c>
      <c r="C30" s="534" t="s">
        <v>262</v>
      </c>
      <c r="D30" s="535"/>
      <c r="E30" s="535"/>
      <c r="F30" s="536"/>
      <c r="G30" s="131">
        <v>12</v>
      </c>
      <c r="H30" s="218">
        <f>+H16</f>
        <v>220</v>
      </c>
      <c r="I30" s="255">
        <f>H30*G30</f>
        <v>2640</v>
      </c>
      <c r="J30" s="219">
        <f t="shared" ref="J30:J32" si="12">I30-K30</f>
        <v>0</v>
      </c>
      <c r="K30" s="220">
        <f t="shared" ref="K30:K32" si="13">IF($E$7=0,0,I30/$E$7*$E$8)</f>
        <v>2640</v>
      </c>
      <c r="L30" s="256"/>
      <c r="M30" s="131"/>
      <c r="N30" s="131"/>
      <c r="O30" s="131"/>
      <c r="P30" s="227">
        <f>SUM(L30:O30)</f>
        <v>0</v>
      </c>
      <c r="Q30" s="223">
        <f>IF($I30=0,0,$G30*$J30/$I30)</f>
        <v>0</v>
      </c>
      <c r="R30" s="223"/>
      <c r="S30" s="223"/>
      <c r="T30" s="223"/>
      <c r="U30" s="223"/>
      <c r="V30" s="224"/>
      <c r="W30" s="257"/>
    </row>
    <row r="31" spans="2:23" s="173" customFormat="1" ht="16.95" customHeight="1" outlineLevel="1" x14ac:dyDescent="0.25">
      <c r="B31" s="216" t="s">
        <v>32</v>
      </c>
      <c r="C31" s="534" t="s">
        <v>33</v>
      </c>
      <c r="D31" s="535"/>
      <c r="E31" s="535"/>
      <c r="F31" s="536"/>
      <c r="G31" s="131">
        <v>28</v>
      </c>
      <c r="H31" s="218">
        <f>$H$20</f>
        <v>171.04950495049505</v>
      </c>
      <c r="I31" s="255">
        <f>H31*G31</f>
        <v>4789.3861386138615</v>
      </c>
      <c r="J31" s="219">
        <f t="shared" si="12"/>
        <v>0</v>
      </c>
      <c r="K31" s="220">
        <f>I31</f>
        <v>4789.3861386138615</v>
      </c>
      <c r="L31" s="256"/>
      <c r="M31" s="221"/>
      <c r="N31" s="131"/>
      <c r="O31" s="131"/>
      <c r="P31" s="227">
        <f>SUM(L31:O31)</f>
        <v>0</v>
      </c>
      <c r="Q31" s="223">
        <f t="shared" ref="Q31:Q32" si="14">IF($I31=0,0,$G31*$J31/$I31)</f>
        <v>0</v>
      </c>
      <c r="R31" s="223"/>
      <c r="S31" s="223"/>
      <c r="T31" s="223"/>
      <c r="U31" s="223"/>
      <c r="V31" s="224"/>
      <c r="W31" s="257"/>
    </row>
    <row r="32" spans="2:23" s="173" customFormat="1" ht="16.95" customHeight="1" outlineLevel="1" x14ac:dyDescent="0.25">
      <c r="B32" s="216" t="s">
        <v>35</v>
      </c>
      <c r="C32" s="258" t="s">
        <v>36</v>
      </c>
      <c r="D32" s="238"/>
      <c r="E32" s="238"/>
      <c r="F32" s="239"/>
      <c r="G32" s="259"/>
      <c r="H32" s="218">
        <f>$H$20</f>
        <v>171.04950495049505</v>
      </c>
      <c r="I32" s="260">
        <f>H32*G32</f>
        <v>0</v>
      </c>
      <c r="J32" s="219">
        <f t="shared" si="12"/>
        <v>0</v>
      </c>
      <c r="K32" s="220">
        <f t="shared" si="13"/>
        <v>0</v>
      </c>
      <c r="L32" s="261"/>
      <c r="M32" s="131"/>
      <c r="N32" s="131"/>
      <c r="O32" s="131"/>
      <c r="P32" s="227">
        <f>SUM(L32:O32)</f>
        <v>0</v>
      </c>
      <c r="Q32" s="223">
        <f t="shared" si="14"/>
        <v>0</v>
      </c>
      <c r="R32" s="223"/>
      <c r="S32" s="223"/>
      <c r="T32" s="223"/>
      <c r="U32" s="223"/>
      <c r="V32" s="224"/>
      <c r="W32" s="257"/>
    </row>
    <row r="33" spans="2:22" s="173" customFormat="1" ht="21" customHeight="1" outlineLevel="1" thickBot="1" x14ac:dyDescent="0.3">
      <c r="B33" s="543" t="s">
        <v>263</v>
      </c>
      <c r="C33" s="544"/>
      <c r="D33" s="544"/>
      <c r="E33" s="544"/>
      <c r="F33" s="545"/>
      <c r="G33" s="262">
        <f>SUM(G30:G32)</f>
        <v>40</v>
      </c>
      <c r="H33" s="263">
        <f>IF(G33=0,0,I33/G33)</f>
        <v>185.73465346534653</v>
      </c>
      <c r="I33" s="263">
        <f>SUM(I30:I32)</f>
        <v>7429.3861386138615</v>
      </c>
      <c r="J33" s="263">
        <f>SUM(J30:J32)</f>
        <v>0</v>
      </c>
      <c r="K33" s="264">
        <f>SUM(K30:K32)</f>
        <v>7429.3861386138615</v>
      </c>
      <c r="L33" s="235">
        <f t="shared" ref="L33:M33" si="15">SUM(L30:L32)</f>
        <v>0</v>
      </c>
      <c r="M33" s="232">
        <f t="shared" si="15"/>
        <v>0</v>
      </c>
      <c r="N33" s="232">
        <f>SUM(N30:N32)</f>
        <v>0</v>
      </c>
      <c r="O33" s="232">
        <f>SUM(O30:O32)</f>
        <v>0</v>
      </c>
      <c r="P33" s="234">
        <f t="shared" ref="P33" si="16">SUM(P29:P32)</f>
        <v>0</v>
      </c>
      <c r="Q33" s="204">
        <f>IF($K$73=0,0,K33/$K$73)</f>
        <v>0.12486363258174557</v>
      </c>
      <c r="R33" s="205" t="s">
        <v>246</v>
      </c>
      <c r="S33" s="125"/>
      <c r="T33" s="172"/>
      <c r="U33" s="122"/>
    </row>
    <row r="34" spans="2:22" s="173" customFormat="1" ht="21" customHeight="1" outlineLevel="1" x14ac:dyDescent="0.25">
      <c r="B34" s="265"/>
      <c r="C34" s="266"/>
      <c r="D34" s="267"/>
      <c r="E34" s="268"/>
      <c r="F34" s="268"/>
      <c r="G34" s="268"/>
      <c r="H34" s="269" t="s">
        <v>264</v>
      </c>
      <c r="I34" s="270">
        <f>+G20+G28+G33</f>
        <v>284</v>
      </c>
      <c r="J34" s="270">
        <f>SUM(Q16:Q19)+SUM(Q22:Q27)+SUM(Q30:Q32)</f>
        <v>0</v>
      </c>
      <c r="K34" s="271">
        <f>I34-J34</f>
        <v>284</v>
      </c>
      <c r="L34" s="272"/>
      <c r="M34" s="272"/>
      <c r="N34" s="272"/>
      <c r="O34" s="272"/>
      <c r="P34" s="272"/>
      <c r="Q34" s="273"/>
      <c r="R34" s="273"/>
      <c r="S34" s="274"/>
      <c r="T34" s="275"/>
      <c r="U34" s="172"/>
      <c r="V34" s="276"/>
    </row>
    <row r="35" spans="2:22" s="173" customFormat="1" ht="21" customHeight="1" outlineLevel="1" thickBot="1" x14ac:dyDescent="0.3">
      <c r="B35" s="277"/>
      <c r="C35" s="278"/>
      <c r="D35" s="279"/>
      <c r="E35" s="280"/>
      <c r="F35" s="280"/>
      <c r="G35" s="280"/>
      <c r="H35" s="281" t="s">
        <v>265</v>
      </c>
      <c r="I35" s="282">
        <f>IF($E$7=0,0,(I33+I20+I28)/$E$7)</f>
        <v>3658.6704384724185</v>
      </c>
      <c r="J35" s="283">
        <f>IF($E$7-$E$8=0,0,(J33+J20+J28)/($E$7-$E$8))</f>
        <v>0</v>
      </c>
      <c r="K35" s="284">
        <f>IF($E$8=0,0,(K33+K20+K28)/$E$8)</f>
        <v>3658.6704384724185</v>
      </c>
      <c r="L35" s="272"/>
      <c r="M35" s="272"/>
      <c r="N35" s="272"/>
      <c r="O35" s="272"/>
      <c r="P35" s="272"/>
      <c r="Q35" s="273"/>
      <c r="R35" s="273"/>
      <c r="S35" s="274"/>
      <c r="T35" s="275"/>
      <c r="U35" s="172"/>
      <c r="V35" s="276"/>
    </row>
    <row r="36" spans="2:22" s="125" customFormat="1" ht="22.2" customHeight="1" thickBot="1" x14ac:dyDescent="0.3">
      <c r="B36" s="285" t="s">
        <v>266</v>
      </c>
      <c r="C36" s="286"/>
      <c r="D36" s="287"/>
      <c r="E36" s="287"/>
      <c r="F36" s="287"/>
      <c r="G36" s="287"/>
      <c r="H36" s="288"/>
      <c r="I36" s="289">
        <f t="shared" ref="I36:P36" si="17">SUM(I37:I45)</f>
        <v>0</v>
      </c>
      <c r="J36" s="290">
        <f t="shared" si="17"/>
        <v>0</v>
      </c>
      <c r="K36" s="291">
        <f t="shared" si="17"/>
        <v>0</v>
      </c>
      <c r="L36" s="203">
        <f t="shared" si="17"/>
        <v>0</v>
      </c>
      <c r="M36" s="199">
        <f t="shared" si="17"/>
        <v>0</v>
      </c>
      <c r="N36" s="200">
        <f t="shared" si="17"/>
        <v>0</v>
      </c>
      <c r="O36" s="199">
        <f t="shared" si="17"/>
        <v>0</v>
      </c>
      <c r="P36" s="292">
        <f t="shared" si="17"/>
        <v>0</v>
      </c>
      <c r="Q36" s="204">
        <f>IF($K$73=0,0,K36/$K$73)</f>
        <v>0</v>
      </c>
      <c r="R36" s="205" t="s">
        <v>246</v>
      </c>
      <c r="U36" s="173"/>
      <c r="V36" s="173"/>
    </row>
    <row r="37" spans="2:22" s="173" customFormat="1" ht="16.95" customHeight="1" outlineLevel="1" x14ac:dyDescent="0.25">
      <c r="B37" s="293" t="s">
        <v>267</v>
      </c>
      <c r="C37" s="294" t="s">
        <v>268</v>
      </c>
      <c r="D37" s="295"/>
      <c r="E37" s="295"/>
      <c r="F37" s="295"/>
      <c r="G37" s="295"/>
      <c r="H37" s="295"/>
      <c r="I37" s="296"/>
      <c r="J37" s="297">
        <f>I37-K37</f>
        <v>0</v>
      </c>
      <c r="K37" s="298">
        <f>IF($E$7=0,0,I37/$E$7*$E$8)</f>
        <v>0</v>
      </c>
      <c r="L37" s="299"/>
      <c r="M37" s="300"/>
      <c r="N37" s="301"/>
      <c r="O37" s="300"/>
      <c r="P37" s="302">
        <f>SUM(L37:O37)</f>
        <v>0</v>
      </c>
      <c r="Q37" s="303"/>
      <c r="R37" s="304"/>
      <c r="S37" s="125"/>
    </row>
    <row r="38" spans="2:22" s="173" customFormat="1" ht="16.95" customHeight="1" outlineLevel="1" x14ac:dyDescent="0.25">
      <c r="B38" s="150" t="s">
        <v>269</v>
      </c>
      <c r="C38" s="305" t="s">
        <v>270</v>
      </c>
      <c r="D38" s="306"/>
      <c r="E38" s="306"/>
      <c r="F38" s="306"/>
      <c r="G38" s="306"/>
      <c r="H38" s="306"/>
      <c r="I38" s="307"/>
      <c r="J38" s="218">
        <f>I38-K38</f>
        <v>0</v>
      </c>
      <c r="K38" s="308">
        <f t="shared" ref="K38:K45" si="18">IF($E$7=0,0,I38/$E$7*$E$8)</f>
        <v>0</v>
      </c>
      <c r="L38" s="256"/>
      <c r="M38" s="221"/>
      <c r="N38" s="309"/>
      <c r="O38" s="221"/>
      <c r="P38" s="227">
        <f>SUM(L38:O38)</f>
        <v>0</v>
      </c>
      <c r="Q38" s="303"/>
      <c r="R38" s="304"/>
      <c r="S38" s="125"/>
    </row>
    <row r="39" spans="2:22" s="173" customFormat="1" ht="16.95" customHeight="1" outlineLevel="1" x14ac:dyDescent="0.25">
      <c r="B39" s="150" t="s">
        <v>271</v>
      </c>
      <c r="C39" s="305" t="s">
        <v>272</v>
      </c>
      <c r="D39" s="306"/>
      <c r="E39" s="306"/>
      <c r="F39" s="306"/>
      <c r="G39" s="306"/>
      <c r="H39" s="306"/>
      <c r="I39" s="307"/>
      <c r="J39" s="218">
        <f>I39-K39</f>
        <v>0</v>
      </c>
      <c r="K39" s="308">
        <f t="shared" si="18"/>
        <v>0</v>
      </c>
      <c r="L39" s="256"/>
      <c r="M39" s="221"/>
      <c r="N39" s="309"/>
      <c r="O39" s="221"/>
      <c r="P39" s="227">
        <f t="shared" ref="P39:P45" si="19">SUM(L39:O39)</f>
        <v>0</v>
      </c>
      <c r="Q39" s="303"/>
      <c r="R39" s="304"/>
      <c r="S39" s="125"/>
    </row>
    <row r="40" spans="2:22" s="173" customFormat="1" ht="16.95" customHeight="1" outlineLevel="1" x14ac:dyDescent="0.25">
      <c r="B40" s="150" t="s">
        <v>273</v>
      </c>
      <c r="C40" s="305" t="s">
        <v>274</v>
      </c>
      <c r="D40" s="306"/>
      <c r="E40" s="306"/>
      <c r="F40" s="306"/>
      <c r="G40" s="306"/>
      <c r="H40" s="306"/>
      <c r="I40" s="307"/>
      <c r="J40" s="218">
        <f>I40-K40</f>
        <v>0</v>
      </c>
      <c r="K40" s="308">
        <f t="shared" si="18"/>
        <v>0</v>
      </c>
      <c r="L40" s="256"/>
      <c r="M40" s="221"/>
      <c r="N40" s="309"/>
      <c r="O40" s="221"/>
      <c r="P40" s="227">
        <f t="shared" si="19"/>
        <v>0</v>
      </c>
      <c r="Q40" s="303"/>
      <c r="R40" s="304"/>
      <c r="S40" s="125"/>
    </row>
    <row r="41" spans="2:22" s="173" customFormat="1" ht="16.95" customHeight="1" outlineLevel="1" x14ac:dyDescent="0.25">
      <c r="B41" s="150" t="s">
        <v>275</v>
      </c>
      <c r="C41" s="305" t="s">
        <v>276</v>
      </c>
      <c r="D41" s="306"/>
      <c r="E41" s="306"/>
      <c r="F41" s="306"/>
      <c r="G41" s="306"/>
      <c r="H41" s="306"/>
      <c r="I41" s="307"/>
      <c r="J41" s="218">
        <f>I41-K41</f>
        <v>0</v>
      </c>
      <c r="K41" s="308">
        <f t="shared" si="18"/>
        <v>0</v>
      </c>
      <c r="L41" s="256"/>
      <c r="M41" s="221"/>
      <c r="N41" s="309"/>
      <c r="O41" s="221"/>
      <c r="P41" s="227">
        <f>SUM(L41:O41)</f>
        <v>0</v>
      </c>
      <c r="Q41" s="303"/>
      <c r="R41" s="304"/>
      <c r="S41" s="125"/>
    </row>
    <row r="42" spans="2:22" s="173" customFormat="1" ht="16.95" customHeight="1" outlineLevel="1" x14ac:dyDescent="0.25">
      <c r="B42" s="150" t="s">
        <v>277</v>
      </c>
      <c r="C42" s="305" t="s">
        <v>278</v>
      </c>
      <c r="D42" s="306"/>
      <c r="E42" s="306"/>
      <c r="F42" s="306"/>
      <c r="G42" s="306"/>
      <c r="H42" s="306"/>
      <c r="I42" s="307"/>
      <c r="J42" s="218">
        <f t="shared" ref="J42:J45" si="20">I42-K42</f>
        <v>0</v>
      </c>
      <c r="K42" s="308">
        <v>0</v>
      </c>
      <c r="L42" s="256"/>
      <c r="M42" s="221"/>
      <c r="N42" s="309"/>
      <c r="O42" s="221"/>
      <c r="P42" s="227">
        <f>SUM(L42:O42)</f>
        <v>0</v>
      </c>
      <c r="Q42" s="303"/>
      <c r="R42" s="304"/>
      <c r="S42" s="125"/>
    </row>
    <row r="43" spans="2:22" s="173" customFormat="1" ht="16.95" customHeight="1" outlineLevel="1" x14ac:dyDescent="0.25">
      <c r="B43" s="150" t="s">
        <v>279</v>
      </c>
      <c r="C43" s="305" t="s">
        <v>280</v>
      </c>
      <c r="D43" s="306"/>
      <c r="E43" s="306"/>
      <c r="F43" s="306"/>
      <c r="G43" s="306"/>
      <c r="H43" s="306"/>
      <c r="I43" s="307"/>
      <c r="J43" s="218">
        <f t="shared" si="20"/>
        <v>0</v>
      </c>
      <c r="K43" s="308">
        <f>I43</f>
        <v>0</v>
      </c>
      <c r="L43" s="256"/>
      <c r="M43" s="221"/>
      <c r="N43" s="309"/>
      <c r="O43" s="221"/>
      <c r="P43" s="227">
        <f t="shared" si="19"/>
        <v>0</v>
      </c>
      <c r="Q43" s="303"/>
      <c r="R43" s="304"/>
      <c r="S43" s="125"/>
    </row>
    <row r="44" spans="2:22" s="173" customFormat="1" ht="16.95" customHeight="1" outlineLevel="1" x14ac:dyDescent="0.25">
      <c r="B44" s="150" t="s">
        <v>281</v>
      </c>
      <c r="C44" s="305" t="s">
        <v>282</v>
      </c>
      <c r="D44" s="306"/>
      <c r="E44" s="306"/>
      <c r="F44" s="306"/>
      <c r="G44" s="306"/>
      <c r="H44" s="306"/>
      <c r="I44" s="307"/>
      <c r="J44" s="218">
        <f t="shared" si="20"/>
        <v>0</v>
      </c>
      <c r="K44" s="308">
        <f t="shared" si="18"/>
        <v>0</v>
      </c>
      <c r="L44" s="256"/>
      <c r="M44" s="221"/>
      <c r="N44" s="309"/>
      <c r="O44" s="221"/>
      <c r="P44" s="227">
        <f t="shared" si="19"/>
        <v>0</v>
      </c>
      <c r="Q44" s="303"/>
      <c r="R44" s="304"/>
      <c r="S44" s="125"/>
    </row>
    <row r="45" spans="2:22" s="173" customFormat="1" ht="16.95" customHeight="1" outlineLevel="1" thickBot="1" x14ac:dyDescent="0.3">
      <c r="B45" s="310" t="s">
        <v>283</v>
      </c>
      <c r="C45" s="311" t="s">
        <v>284</v>
      </c>
      <c r="D45" s="312"/>
      <c r="E45" s="312"/>
      <c r="F45" s="312"/>
      <c r="G45" s="312"/>
      <c r="H45" s="313"/>
      <c r="I45" s="314"/>
      <c r="J45" s="315">
        <f t="shared" si="20"/>
        <v>0</v>
      </c>
      <c r="K45" s="316">
        <f t="shared" si="18"/>
        <v>0</v>
      </c>
      <c r="L45" s="317"/>
      <c r="M45" s="318"/>
      <c r="N45" s="319"/>
      <c r="O45" s="318"/>
      <c r="P45" s="320">
        <f t="shared" si="19"/>
        <v>0</v>
      </c>
      <c r="Q45" s="303"/>
      <c r="R45" s="304"/>
      <c r="S45" s="125"/>
    </row>
    <row r="46" spans="2:22" s="173" customFormat="1" ht="24.6" customHeight="1" outlineLevel="1" thickBot="1" x14ac:dyDescent="0.3">
      <c r="B46" s="321"/>
      <c r="C46" s="322"/>
      <c r="E46" s="323"/>
      <c r="F46" s="323"/>
      <c r="G46" s="323"/>
      <c r="H46" s="126" t="s">
        <v>285</v>
      </c>
      <c r="I46" s="324">
        <f>IF(E7=0,0,I36/$E$7)</f>
        <v>0</v>
      </c>
      <c r="J46" s="324">
        <f>IF(E7-E8=0,0,J36/($E$7-$E$8))</f>
        <v>0</v>
      </c>
      <c r="K46" s="284">
        <f>IF($E$8=0,0,K36/$E$8)</f>
        <v>0</v>
      </c>
      <c r="L46" s="272"/>
      <c r="M46" s="272"/>
      <c r="N46" s="272"/>
      <c r="O46" s="272"/>
      <c r="P46" s="272"/>
      <c r="Q46" s="303"/>
      <c r="R46" s="304"/>
      <c r="S46" s="125"/>
      <c r="U46" s="125"/>
      <c r="V46" s="125"/>
    </row>
    <row r="47" spans="2:22" s="125" customFormat="1" ht="21.6" customHeight="1" thickBot="1" x14ac:dyDescent="0.3">
      <c r="B47" s="195" t="s">
        <v>286</v>
      </c>
      <c r="C47" s="196"/>
      <c r="D47" s="197"/>
      <c r="E47" s="197"/>
      <c r="F47" s="197"/>
      <c r="G47" s="197"/>
      <c r="H47" s="325"/>
      <c r="I47" s="326">
        <f t="shared" ref="I47:P47" si="21">I36+I33+I20+I28</f>
        <v>51221.38613861386</v>
      </c>
      <c r="J47" s="326">
        <f t="shared" si="21"/>
        <v>0</v>
      </c>
      <c r="K47" s="327">
        <f t="shared" si="21"/>
        <v>51221.38613861386</v>
      </c>
      <c r="L47" s="326">
        <f t="shared" si="21"/>
        <v>0</v>
      </c>
      <c r="M47" s="326">
        <f t="shared" si="21"/>
        <v>0</v>
      </c>
      <c r="N47" s="326">
        <f t="shared" si="21"/>
        <v>0</v>
      </c>
      <c r="O47" s="326">
        <f t="shared" si="21"/>
        <v>0</v>
      </c>
      <c r="P47" s="328">
        <f t="shared" si="21"/>
        <v>0</v>
      </c>
      <c r="Q47" s="329">
        <f>IF($K$73=0,0,K47/$K$73)</f>
        <v>0.86086363258174559</v>
      </c>
      <c r="R47" s="205" t="s">
        <v>246</v>
      </c>
      <c r="S47" s="330"/>
      <c r="U47" s="122"/>
      <c r="V47" s="173"/>
    </row>
    <row r="48" spans="2:22" s="173" customFormat="1" ht="21" customHeight="1" thickBot="1" x14ac:dyDescent="0.3">
      <c r="B48" s="331"/>
      <c r="C48" s="332"/>
      <c r="D48" s="332"/>
      <c r="E48" s="333"/>
      <c r="F48" s="333"/>
      <c r="G48" s="333"/>
      <c r="H48" s="334" t="s">
        <v>287</v>
      </c>
      <c r="I48" s="282">
        <f>IF(E7=0,0,I47/E7)</f>
        <v>3658.6704384724185</v>
      </c>
      <c r="J48" s="324">
        <f>IF((E7-E8)=0,0,J47/(E7-E8))</f>
        <v>0</v>
      </c>
      <c r="K48" s="335">
        <f>IF(E8=0,0,K47/E8)</f>
        <v>3658.6704384724185</v>
      </c>
      <c r="L48" s="272"/>
      <c r="M48" s="272"/>
      <c r="N48" s="272"/>
      <c r="O48" s="272"/>
      <c r="P48" s="272"/>
      <c r="Q48" s="336"/>
      <c r="R48" s="304"/>
      <c r="S48" s="125"/>
      <c r="T48" s="172"/>
      <c r="U48" s="122"/>
    </row>
    <row r="49" spans="1:22" s="173" customFormat="1" ht="12" customHeight="1" thickBot="1" x14ac:dyDescent="0.3">
      <c r="B49" s="321"/>
      <c r="E49" s="323"/>
      <c r="F49" s="323"/>
      <c r="G49" s="323"/>
      <c r="H49" s="126"/>
      <c r="I49" s="282"/>
      <c r="J49" s="282"/>
      <c r="K49" s="337"/>
      <c r="L49" s="272"/>
      <c r="M49" s="272"/>
      <c r="N49" s="272"/>
      <c r="O49" s="272"/>
      <c r="P49" s="272"/>
      <c r="Q49" s="336"/>
      <c r="R49" s="304"/>
      <c r="S49" s="125"/>
      <c r="T49" s="172"/>
      <c r="U49" s="121"/>
      <c r="V49" s="121"/>
    </row>
    <row r="50" spans="1:22" s="121" customFormat="1" ht="55.8" thickBot="1" x14ac:dyDescent="0.3">
      <c r="B50" s="338" t="s">
        <v>288</v>
      </c>
      <c r="C50" s="339" t="s">
        <v>289</v>
      </c>
      <c r="D50" s="340"/>
      <c r="E50" s="340"/>
      <c r="F50" s="340"/>
      <c r="G50" s="340"/>
      <c r="H50" s="187" t="s">
        <v>290</v>
      </c>
      <c r="I50" s="186" t="s">
        <v>238</v>
      </c>
      <c r="J50" s="187" t="s">
        <v>239</v>
      </c>
      <c r="K50" s="188" t="s">
        <v>291</v>
      </c>
      <c r="L50" s="341" t="str">
        <f>L13</f>
        <v>Lyon 2</v>
      </c>
      <c r="M50" s="187" t="str">
        <f>M13</f>
        <v>Partenaire 1</v>
      </c>
      <c r="N50" s="187" t="str">
        <f>N13</f>
        <v>Partenaire 2</v>
      </c>
      <c r="O50" s="187" t="str">
        <f>O13</f>
        <v>Partenaire 3</v>
      </c>
      <c r="P50" s="192" t="s">
        <v>145</v>
      </c>
      <c r="Q50" s="342"/>
      <c r="R50" s="194"/>
      <c r="U50" s="125"/>
      <c r="V50" s="125"/>
    </row>
    <row r="51" spans="1:22" s="125" customFormat="1" ht="19.95" customHeight="1" thickBot="1" x14ac:dyDescent="0.3">
      <c r="B51" s="195" t="s">
        <v>292</v>
      </c>
      <c r="C51" s="196"/>
      <c r="D51" s="197"/>
      <c r="E51" s="197"/>
      <c r="F51" s="197"/>
      <c r="G51" s="197"/>
      <c r="H51" s="325"/>
      <c r="I51" s="200">
        <f>SUM(I52:I55)</f>
        <v>12040</v>
      </c>
      <c r="J51" s="201">
        <f>SUM(J52:J55)</f>
        <v>0</v>
      </c>
      <c r="K51" s="202">
        <f>SUM(K52:K55)</f>
        <v>12040</v>
      </c>
      <c r="L51" s="200">
        <f t="shared" ref="L51:P51" si="22">SUM(L52:L55)</f>
        <v>0</v>
      </c>
      <c r="M51" s="199">
        <f t="shared" si="22"/>
        <v>0</v>
      </c>
      <c r="N51" s="199">
        <f t="shared" si="22"/>
        <v>0</v>
      </c>
      <c r="O51" s="200">
        <f t="shared" si="22"/>
        <v>0</v>
      </c>
      <c r="P51" s="202">
        <f t="shared" si="22"/>
        <v>0</v>
      </c>
      <c r="Q51" s="236"/>
      <c r="R51" s="343"/>
    </row>
    <row r="52" spans="1:22" s="125" customFormat="1" ht="16.95" customHeight="1" outlineLevel="2" x14ac:dyDescent="0.25">
      <c r="B52" s="344" t="s">
        <v>293</v>
      </c>
      <c r="C52" s="345" t="s">
        <v>294</v>
      </c>
      <c r="D52" s="346"/>
      <c r="E52" s="346"/>
      <c r="F52" s="346"/>
      <c r="G52" s="347"/>
      <c r="H52" s="218">
        <f>IF(H5="Formation courte",119/2,119)</f>
        <v>119</v>
      </c>
      <c r="I52" s="218">
        <f>H52*E8</f>
        <v>1666</v>
      </c>
      <c r="J52" s="219">
        <f t="shared" ref="J52:J55" si="23">I52-K52</f>
        <v>0</v>
      </c>
      <c r="K52" s="220">
        <f>I52</f>
        <v>1666</v>
      </c>
      <c r="L52" s="348"/>
      <c r="M52" s="349"/>
      <c r="N52" s="349"/>
      <c r="O52" s="350"/>
      <c r="P52" s="222">
        <f>SUM(L52:O52)</f>
        <v>0</v>
      </c>
      <c r="Q52" s="236"/>
      <c r="R52" s="304"/>
      <c r="U52" s="173"/>
      <c r="V52" s="173"/>
    </row>
    <row r="53" spans="1:22" s="173" customFormat="1" ht="18.75" customHeight="1" outlineLevel="2" x14ac:dyDescent="0.25">
      <c r="B53" s="344" t="s">
        <v>295</v>
      </c>
      <c r="C53" s="351" t="s">
        <v>296</v>
      </c>
      <c r="D53" s="352"/>
      <c r="E53" s="352"/>
      <c r="F53" s="352"/>
      <c r="G53" s="353"/>
      <c r="H53" s="218">
        <f>IF(OR(H5="Diplôme Universitaire",H5="Formation courte"),578/500*Enseignements!G6,578)</f>
        <v>578</v>
      </c>
      <c r="I53" s="218">
        <f>H53*$E$7</f>
        <v>8092</v>
      </c>
      <c r="J53" s="219">
        <f>I53-K53</f>
        <v>0</v>
      </c>
      <c r="K53" s="220">
        <f>IF($E$7=0,0,I53/$E$7*$E$8)</f>
        <v>8092</v>
      </c>
      <c r="L53" s="348"/>
      <c r="M53" s="349"/>
      <c r="N53" s="349"/>
      <c r="O53" s="131"/>
      <c r="P53" s="227">
        <f>SUM(L53:O53)</f>
        <v>0</v>
      </c>
      <c r="Q53" s="177"/>
      <c r="R53" s="304"/>
      <c r="S53" s="125"/>
    </row>
    <row r="54" spans="1:22" s="173" customFormat="1" ht="18.75" customHeight="1" outlineLevel="2" x14ac:dyDescent="0.25">
      <c r="B54" s="344" t="s">
        <v>297</v>
      </c>
      <c r="C54" s="168" t="s">
        <v>298</v>
      </c>
      <c r="D54" s="354"/>
      <c r="E54" s="354"/>
      <c r="F54" s="354"/>
      <c r="G54" s="354"/>
      <c r="H54" s="218">
        <f>IF(OR(H5="Diplôme Universitaire",H5="Formation courte"),98/500*Enseignements!G6,98)</f>
        <v>98</v>
      </c>
      <c r="I54" s="218">
        <f t="shared" ref="I54:I59" si="24">H54*$E$7</f>
        <v>1372</v>
      </c>
      <c r="J54" s="219">
        <f t="shared" si="23"/>
        <v>0</v>
      </c>
      <c r="K54" s="220">
        <f t="shared" ref="K54:K59" si="25">IF($E$7=0,0,I54/$E$7*$E$8)</f>
        <v>1372</v>
      </c>
      <c r="L54" s="348"/>
      <c r="M54" s="349"/>
      <c r="N54" s="349"/>
      <c r="O54" s="131"/>
      <c r="P54" s="227">
        <f>SUM(L54:O54)</f>
        <v>0</v>
      </c>
      <c r="Q54" s="177"/>
      <c r="R54" s="304"/>
      <c r="S54" s="125"/>
    </row>
    <row r="55" spans="1:22" s="173" customFormat="1" ht="18.75" customHeight="1" outlineLevel="2" thickBot="1" x14ac:dyDescent="0.3">
      <c r="B55" s="344" t="s">
        <v>299</v>
      </c>
      <c r="C55" s="168" t="s">
        <v>300</v>
      </c>
      <c r="D55" s="354"/>
      <c r="E55" s="354"/>
      <c r="F55" s="354"/>
      <c r="G55" s="354"/>
      <c r="H55" s="218">
        <f>IF(OR(H5="Diplôme Universitaire",H5="Formation courte"),65/500*Enseignements!G6,65)</f>
        <v>65</v>
      </c>
      <c r="I55" s="218">
        <f t="shared" si="24"/>
        <v>910</v>
      </c>
      <c r="J55" s="219">
        <f t="shared" si="23"/>
        <v>0</v>
      </c>
      <c r="K55" s="220">
        <f t="shared" si="25"/>
        <v>910</v>
      </c>
      <c r="L55" s="348"/>
      <c r="M55" s="349"/>
      <c r="N55" s="349"/>
      <c r="O55" s="131"/>
      <c r="P55" s="227">
        <f>SUM(L55:O55)</f>
        <v>0</v>
      </c>
      <c r="Q55" s="177"/>
      <c r="R55" s="304"/>
      <c r="S55" s="125"/>
      <c r="U55" s="125"/>
      <c r="V55" s="125"/>
    </row>
    <row r="56" spans="1:22" s="125" customFormat="1" ht="19.2" customHeight="1" thickBot="1" x14ac:dyDescent="0.3">
      <c r="B56" s="195" t="s">
        <v>301</v>
      </c>
      <c r="C56" s="196"/>
      <c r="D56" s="197"/>
      <c r="E56" s="197"/>
      <c r="F56" s="197"/>
      <c r="G56" s="197"/>
      <c r="H56" s="325"/>
      <c r="I56" s="200">
        <f>SUM(I57:I59)</f>
        <v>10696</v>
      </c>
      <c r="J56" s="201">
        <f>SUM(J57:J59)</f>
        <v>0</v>
      </c>
      <c r="K56" s="202">
        <f>SUM(K57:K59)</f>
        <v>10696</v>
      </c>
      <c r="L56" s="200">
        <f t="shared" ref="L56:P56" si="26">SUM(L57:L59)</f>
        <v>0</v>
      </c>
      <c r="M56" s="199">
        <f t="shared" si="26"/>
        <v>0</v>
      </c>
      <c r="N56" s="199">
        <f t="shared" si="26"/>
        <v>0</v>
      </c>
      <c r="O56" s="200">
        <f t="shared" si="26"/>
        <v>0</v>
      </c>
      <c r="P56" s="202">
        <f t="shared" si="26"/>
        <v>0</v>
      </c>
      <c r="Q56" s="355"/>
      <c r="R56" s="304"/>
    </row>
    <row r="57" spans="1:22" s="125" customFormat="1" ht="16.95" customHeight="1" outlineLevel="1" x14ac:dyDescent="0.25">
      <c r="B57" s="150" t="s">
        <v>302</v>
      </c>
      <c r="C57" s="305" t="s">
        <v>303</v>
      </c>
      <c r="D57" s="306"/>
      <c r="E57" s="306"/>
      <c r="F57" s="306"/>
      <c r="G57" s="306"/>
      <c r="H57" s="218">
        <f>IF(OR(H5="Diplôme Universitaire",H5="Formation courte"),221/500*Enseignements!G6,221)</f>
        <v>221</v>
      </c>
      <c r="I57" s="218">
        <f t="shared" si="24"/>
        <v>3094</v>
      </c>
      <c r="J57" s="219">
        <f t="shared" ref="J57:J59" si="27">I57-K57</f>
        <v>0</v>
      </c>
      <c r="K57" s="220">
        <f t="shared" si="25"/>
        <v>3094</v>
      </c>
      <c r="L57" s="348"/>
      <c r="M57" s="349"/>
      <c r="N57" s="349"/>
      <c r="O57" s="131"/>
      <c r="P57" s="227">
        <f>SUM(L57:O57)</f>
        <v>0</v>
      </c>
      <c r="Q57" s="177"/>
      <c r="R57" s="356"/>
    </row>
    <row r="58" spans="1:22" s="125" customFormat="1" ht="16.95" customHeight="1" outlineLevel="1" x14ac:dyDescent="0.25">
      <c r="B58" s="150" t="s">
        <v>304</v>
      </c>
      <c r="C58" s="305" t="s">
        <v>305</v>
      </c>
      <c r="D58" s="306"/>
      <c r="E58" s="306"/>
      <c r="F58" s="306"/>
      <c r="G58" s="306"/>
      <c r="H58" s="218">
        <f>IF(OR(H5="Diplôme Universitaire",H5="Formation courte"),415/500*Enseignements!G6,415)</f>
        <v>415</v>
      </c>
      <c r="I58" s="218">
        <f t="shared" si="24"/>
        <v>5810</v>
      </c>
      <c r="J58" s="219">
        <f t="shared" si="27"/>
        <v>0</v>
      </c>
      <c r="K58" s="220">
        <f t="shared" si="25"/>
        <v>5810</v>
      </c>
      <c r="L58" s="348"/>
      <c r="M58" s="349"/>
      <c r="N58" s="349"/>
      <c r="O58" s="131"/>
      <c r="P58" s="227">
        <f>SUM(L58:O58)</f>
        <v>0</v>
      </c>
      <c r="Q58" s="177"/>
      <c r="R58" s="304"/>
    </row>
    <row r="59" spans="1:22" s="125" customFormat="1" ht="16.95" customHeight="1" outlineLevel="1" thickBot="1" x14ac:dyDescent="0.3">
      <c r="B59" s="150" t="s">
        <v>306</v>
      </c>
      <c r="C59" s="305" t="s">
        <v>307</v>
      </c>
      <c r="D59" s="306"/>
      <c r="E59" s="306"/>
      <c r="F59" s="306"/>
      <c r="G59" s="306"/>
      <c r="H59" s="218">
        <f>IF(OR(H5="Diplôme Universitaire",H5="Formation courte"),128/500*Enseignements!G6,128)</f>
        <v>128</v>
      </c>
      <c r="I59" s="218">
        <f t="shared" si="24"/>
        <v>1792</v>
      </c>
      <c r="J59" s="219">
        <f t="shared" si="27"/>
        <v>0</v>
      </c>
      <c r="K59" s="220">
        <f t="shared" si="25"/>
        <v>1792</v>
      </c>
      <c r="L59" s="348"/>
      <c r="M59" s="349"/>
      <c r="N59" s="349"/>
      <c r="O59" s="131"/>
      <c r="P59" s="227">
        <f>SUM(L59:O59)</f>
        <v>0</v>
      </c>
      <c r="Q59" s="177"/>
      <c r="R59" s="304"/>
    </row>
    <row r="60" spans="1:22" s="125" customFormat="1" ht="21.6" customHeight="1" thickBot="1" x14ac:dyDescent="0.3">
      <c r="B60" s="195" t="s">
        <v>308</v>
      </c>
      <c r="C60" s="196"/>
      <c r="D60" s="197"/>
      <c r="E60" s="197"/>
      <c r="F60" s="197"/>
      <c r="G60" s="197"/>
      <c r="H60" s="325"/>
      <c r="I60" s="200">
        <f>I51+I56</f>
        <v>22736</v>
      </c>
      <c r="J60" s="201">
        <f>J51+J56</f>
        <v>0</v>
      </c>
      <c r="K60" s="202">
        <f>K51+K56</f>
        <v>22736</v>
      </c>
      <c r="L60" s="200">
        <f t="shared" ref="L60:P60" si="28">L51+L56</f>
        <v>0</v>
      </c>
      <c r="M60" s="199">
        <f t="shared" si="28"/>
        <v>0</v>
      </c>
      <c r="N60" s="199">
        <f t="shared" si="28"/>
        <v>0</v>
      </c>
      <c r="O60" s="200">
        <f t="shared" si="28"/>
        <v>0</v>
      </c>
      <c r="P60" s="202">
        <f t="shared" si="28"/>
        <v>0</v>
      </c>
      <c r="Q60" s="204">
        <f>IF($K$73=0,0,K60/$K$73)</f>
        <v>0.38211764705882351</v>
      </c>
      <c r="R60" s="357" t="s">
        <v>246</v>
      </c>
      <c r="S60" s="358">
        <f>IF((K60+K47)=0,0,K60/(K60+K47))</f>
        <v>0.3074202752026321</v>
      </c>
      <c r="T60" s="205" t="s">
        <v>309</v>
      </c>
      <c r="U60" s="122"/>
    </row>
    <row r="61" spans="1:22" ht="21" customHeight="1" thickBot="1" x14ac:dyDescent="0.3">
      <c r="A61" s="125"/>
      <c r="B61" s="331"/>
      <c r="C61" s="359"/>
      <c r="D61" s="359"/>
      <c r="E61" s="333"/>
      <c r="F61" s="333"/>
      <c r="G61" s="333"/>
      <c r="H61" s="126" t="s">
        <v>310</v>
      </c>
      <c r="I61" s="324">
        <f>IF(E7=0,0,I60/E7)</f>
        <v>1624</v>
      </c>
      <c r="J61" s="324">
        <f>IF((E7-E8)=0,0,J60/(E7-E8))</f>
        <v>0</v>
      </c>
      <c r="K61" s="335">
        <f>IF(E8=0,0,K60/E8)</f>
        <v>1624</v>
      </c>
      <c r="L61" s="272"/>
      <c r="M61" s="272"/>
      <c r="N61" s="272"/>
      <c r="O61" s="272"/>
      <c r="P61" s="272"/>
      <c r="Q61" s="125"/>
      <c r="R61" s="125"/>
      <c r="S61" s="125"/>
      <c r="T61" s="172"/>
      <c r="U61" s="125"/>
      <c r="V61" s="125"/>
    </row>
    <row r="62" spans="1:22" s="125" customFormat="1" ht="13.2" customHeight="1" thickBot="1" x14ac:dyDescent="0.3">
      <c r="B62" s="360"/>
      <c r="C62" s="361"/>
      <c r="D62" s="361"/>
      <c r="E62" s="361"/>
      <c r="F62" s="361"/>
      <c r="G62" s="361"/>
      <c r="H62" s="361"/>
      <c r="I62" s="362"/>
      <c r="J62" s="362"/>
      <c r="K62" s="363"/>
      <c r="L62" s="364"/>
      <c r="M62" s="364"/>
      <c r="N62" s="364"/>
      <c r="O62" s="364"/>
      <c r="P62" s="364"/>
      <c r="Q62" s="365"/>
      <c r="R62" s="121"/>
    </row>
    <row r="63" spans="1:22" s="125" customFormat="1" ht="24.6" customHeight="1" thickBot="1" x14ac:dyDescent="0.3">
      <c r="B63" s="366" t="s">
        <v>311</v>
      </c>
      <c r="C63" s="366"/>
      <c r="D63" s="367"/>
      <c r="E63" s="368"/>
      <c r="F63" s="367"/>
      <c r="G63" s="369"/>
      <c r="H63" s="370"/>
      <c r="I63" s="371">
        <f>I60+I47</f>
        <v>73957.38613861386</v>
      </c>
      <c r="J63" s="371">
        <f>J60+J47</f>
        <v>0</v>
      </c>
      <c r="K63" s="372">
        <f>K60+K47</f>
        <v>73957.38613861386</v>
      </c>
      <c r="L63" s="371">
        <f t="shared" ref="L63:O63" si="29">L60+L47</f>
        <v>0</v>
      </c>
      <c r="M63" s="371">
        <f t="shared" si="29"/>
        <v>0</v>
      </c>
      <c r="N63" s="371">
        <f t="shared" si="29"/>
        <v>0</v>
      </c>
      <c r="O63" s="371">
        <f t="shared" si="29"/>
        <v>0</v>
      </c>
      <c r="P63" s="372">
        <f>P60+P47</f>
        <v>0</v>
      </c>
      <c r="Q63" s="204">
        <f>IF($K$73=0,0,K63/$K$73)</f>
        <v>1.242981279640569</v>
      </c>
      <c r="R63" s="205" t="s">
        <v>246</v>
      </c>
      <c r="U63" s="173"/>
      <c r="V63" s="173"/>
    </row>
    <row r="64" spans="1:22" s="173" customFormat="1" ht="18.75" customHeight="1" x14ac:dyDescent="0.25">
      <c r="B64" s="265"/>
      <c r="C64" s="346"/>
      <c r="D64" s="373"/>
      <c r="E64" s="373"/>
      <c r="F64" s="373"/>
      <c r="G64" s="374"/>
      <c r="H64" s="374" t="s">
        <v>312</v>
      </c>
      <c r="I64" s="375">
        <f>IF(E7=0,0,I63/$E$7)</f>
        <v>5282.6704384724189</v>
      </c>
      <c r="J64" s="376">
        <f>IF(($E$7-$E$8)=0,0,J63/($E$7-$E$8))</f>
        <v>0</v>
      </c>
      <c r="K64" s="377">
        <f>IF(E8=0,0,K63/$E$8)</f>
        <v>5282.6704384724189</v>
      </c>
      <c r="L64" s="378"/>
      <c r="M64" s="378"/>
      <c r="N64" s="378"/>
      <c r="O64" s="379"/>
      <c r="P64" s="379"/>
      <c r="Q64" s="177"/>
      <c r="R64" s="304"/>
      <c r="S64" s="125"/>
    </row>
    <row r="65" spans="2:24" s="173" customFormat="1" ht="18.600000000000001" customHeight="1" thickBot="1" x14ac:dyDescent="0.3">
      <c r="B65" s="277"/>
      <c r="C65" s="380"/>
      <c r="D65" s="381"/>
      <c r="E65" s="381"/>
      <c r="F65" s="381"/>
      <c r="G65" s="382"/>
      <c r="H65" s="382" t="s">
        <v>313</v>
      </c>
      <c r="I65" s="315">
        <f t="shared" ref="I65:P65" si="30">IF(I34=0,0,I63/I34)</f>
        <v>260.41333147399246</v>
      </c>
      <c r="J65" s="315">
        <f t="shared" si="30"/>
        <v>0</v>
      </c>
      <c r="K65" s="315">
        <f t="shared" si="30"/>
        <v>260.41333147399246</v>
      </c>
      <c r="L65" s="315">
        <f t="shared" si="30"/>
        <v>0</v>
      </c>
      <c r="M65" s="315">
        <f t="shared" si="30"/>
        <v>0</v>
      </c>
      <c r="N65" s="315">
        <f t="shared" si="30"/>
        <v>0</v>
      </c>
      <c r="O65" s="315">
        <f t="shared" si="30"/>
        <v>0</v>
      </c>
      <c r="P65" s="438">
        <f t="shared" si="30"/>
        <v>0</v>
      </c>
      <c r="Q65" s="439"/>
      <c r="R65" s="304"/>
      <c r="S65" s="125"/>
      <c r="U65" s="125"/>
      <c r="V65" s="125"/>
    </row>
    <row r="66" spans="2:24" ht="14.4" thickBot="1" x14ac:dyDescent="0.3">
      <c r="B66" s="383"/>
      <c r="C66" s="383"/>
      <c r="D66" s="383"/>
      <c r="E66" s="383"/>
      <c r="F66" s="125"/>
      <c r="G66" s="125"/>
      <c r="H66" s="125"/>
      <c r="I66" s="125"/>
      <c r="J66" s="125"/>
      <c r="K66" s="125"/>
      <c r="L66" s="125"/>
      <c r="M66" s="125"/>
      <c r="N66" s="125"/>
      <c r="O66" s="125"/>
      <c r="P66" s="125"/>
      <c r="Q66" s="384"/>
      <c r="R66" s="121"/>
      <c r="S66" s="125"/>
      <c r="T66" s="125"/>
      <c r="U66" s="121"/>
      <c r="V66" s="125"/>
      <c r="W66" s="125"/>
      <c r="X66" s="125"/>
    </row>
    <row r="67" spans="2:24" ht="24.6" customHeight="1" thickBot="1" x14ac:dyDescent="0.3">
      <c r="B67" s="492" t="s">
        <v>314</v>
      </c>
      <c r="C67" s="493"/>
      <c r="D67" s="493"/>
      <c r="E67" s="493"/>
      <c r="F67" s="493"/>
      <c r="G67" s="493"/>
      <c r="H67" s="493"/>
      <c r="I67" s="493"/>
      <c r="J67" s="493"/>
      <c r="K67" s="494"/>
      <c r="L67" s="178"/>
      <c r="M67" s="179"/>
      <c r="N67" s="179"/>
      <c r="O67" s="179"/>
      <c r="P67" s="180"/>
      <c r="Q67" s="121"/>
      <c r="R67" s="121"/>
      <c r="S67" s="125"/>
      <c r="T67" s="121"/>
      <c r="U67" s="125"/>
      <c r="V67" s="125"/>
      <c r="W67" s="125"/>
      <c r="X67" s="125"/>
    </row>
    <row r="68" spans="2:24" ht="7.5" customHeight="1" thickBot="1" x14ac:dyDescent="0.3">
      <c r="B68" s="385"/>
      <c r="C68" s="125"/>
      <c r="D68" s="125"/>
      <c r="E68" s="125"/>
      <c r="F68" s="125"/>
      <c r="G68" s="125"/>
      <c r="H68" s="163"/>
      <c r="I68" s="386"/>
      <c r="J68" s="386"/>
      <c r="K68" s="387"/>
      <c r="L68" s="388"/>
      <c r="M68" s="388"/>
      <c r="N68" s="388"/>
      <c r="O68" s="388"/>
      <c r="P68" s="388"/>
      <c r="Q68" s="123"/>
      <c r="R68" s="121"/>
      <c r="S68" s="125"/>
      <c r="T68" s="125"/>
      <c r="U68" s="121"/>
      <c r="V68" s="121"/>
      <c r="W68" s="125"/>
      <c r="X68" s="125"/>
    </row>
    <row r="69" spans="2:24" s="121" customFormat="1" ht="55.8" thickBot="1" x14ac:dyDescent="0.3">
      <c r="B69" s="338" t="s">
        <v>315</v>
      </c>
      <c r="C69" s="339" t="s">
        <v>316</v>
      </c>
      <c r="D69" s="340"/>
      <c r="E69" s="340"/>
      <c r="F69" s="340"/>
      <c r="G69" s="340"/>
      <c r="H69" s="389"/>
      <c r="I69" s="390" t="s">
        <v>238</v>
      </c>
      <c r="J69" s="187" t="s">
        <v>239</v>
      </c>
      <c r="K69" s="188" t="s">
        <v>291</v>
      </c>
      <c r="L69" s="341" t="s">
        <v>241</v>
      </c>
      <c r="M69" s="186" t="s">
        <v>242</v>
      </c>
      <c r="N69" s="186" t="s">
        <v>243</v>
      </c>
      <c r="O69" s="391" t="s">
        <v>244</v>
      </c>
      <c r="P69" s="392" t="s">
        <v>145</v>
      </c>
      <c r="Q69" s="342"/>
      <c r="R69" s="194"/>
      <c r="U69" s="125"/>
      <c r="V69" s="125"/>
    </row>
    <row r="70" spans="2:24" ht="24" customHeight="1" x14ac:dyDescent="0.25">
      <c r="B70" s="293" t="s">
        <v>317</v>
      </c>
      <c r="C70" s="345" t="s">
        <v>318</v>
      </c>
      <c r="D70" s="393"/>
      <c r="E70" s="393"/>
      <c r="F70" s="393"/>
      <c r="G70" s="393"/>
      <c r="H70" s="394"/>
      <c r="I70" s="395">
        <f>J70+K70</f>
        <v>62902</v>
      </c>
      <c r="J70" s="395">
        <f>'Recettes et simulat'!G16</f>
        <v>3402</v>
      </c>
      <c r="K70" s="396">
        <f>'Recettes et simulat'!J28</f>
        <v>59500</v>
      </c>
      <c r="L70" s="299"/>
      <c r="M70" s="300"/>
      <c r="N70" s="397"/>
      <c r="O70" s="397"/>
      <c r="P70" s="302">
        <f>SUM(L70:O70)</f>
        <v>0</v>
      </c>
      <c r="Q70" s="121"/>
      <c r="R70" s="121"/>
      <c r="S70" s="125"/>
      <c r="T70" s="125"/>
      <c r="U70" s="125"/>
      <c r="V70" s="125"/>
      <c r="W70" s="125"/>
      <c r="X70" s="121"/>
    </row>
    <row r="71" spans="2:24" ht="27" customHeight="1" thickBot="1" x14ac:dyDescent="0.3">
      <c r="B71" s="310" t="s">
        <v>319</v>
      </c>
      <c r="C71" s="311" t="s">
        <v>320</v>
      </c>
      <c r="D71" s="398"/>
      <c r="E71" s="398"/>
      <c r="F71" s="398"/>
      <c r="G71" s="398"/>
      <c r="H71" s="399"/>
      <c r="I71" s="400">
        <f>J71+K71</f>
        <v>0</v>
      </c>
      <c r="J71" s="401"/>
      <c r="K71" s="402">
        <f>'Recettes et simulat'!F39</f>
        <v>0</v>
      </c>
      <c r="L71" s="317"/>
      <c r="M71" s="318"/>
      <c r="N71" s="318"/>
      <c r="O71" s="403"/>
      <c r="P71" s="320">
        <f>SUM(L71:O71)</f>
        <v>0</v>
      </c>
      <c r="Q71" s="121"/>
      <c r="R71" s="121"/>
      <c r="S71" s="125"/>
      <c r="T71" s="125"/>
      <c r="U71" s="125"/>
      <c r="V71" s="125"/>
      <c r="W71" s="125"/>
      <c r="X71" s="121"/>
    </row>
    <row r="72" spans="2:24" ht="11.4" customHeight="1" thickBot="1" x14ac:dyDescent="0.3">
      <c r="B72" s="404"/>
      <c r="C72" s="405"/>
      <c r="D72" s="406"/>
      <c r="E72" s="405"/>
      <c r="F72" s="406"/>
      <c r="G72" s="406"/>
      <c r="H72" s="406"/>
      <c r="I72" s="407"/>
      <c r="J72" s="407"/>
      <c r="K72" s="408"/>
      <c r="L72" s="407"/>
      <c r="M72" s="407"/>
      <c r="N72" s="407"/>
      <c r="O72" s="407"/>
      <c r="P72" s="407"/>
      <c r="Q72" s="409"/>
      <c r="R72" s="410"/>
      <c r="S72" s="411"/>
      <c r="T72" s="125"/>
      <c r="U72" s="125"/>
      <c r="V72" s="125"/>
      <c r="W72" s="125"/>
      <c r="X72" s="121"/>
    </row>
    <row r="73" spans="2:24" s="125" customFormat="1" ht="24.6" customHeight="1" thickBot="1" x14ac:dyDescent="0.3">
      <c r="B73" s="366" t="s">
        <v>321</v>
      </c>
      <c r="C73" s="366"/>
      <c r="D73" s="367"/>
      <c r="E73" s="368"/>
      <c r="F73" s="367"/>
      <c r="G73" s="369"/>
      <c r="H73" s="370"/>
      <c r="I73" s="371">
        <f>I70+I71</f>
        <v>62902</v>
      </c>
      <c r="J73" s="371">
        <f>J70+J71</f>
        <v>3402</v>
      </c>
      <c r="K73" s="372">
        <f>K70+K71</f>
        <v>59500</v>
      </c>
      <c r="L73" s="371">
        <f t="shared" ref="L73:O73" si="31">L70+L71</f>
        <v>0</v>
      </c>
      <c r="M73" s="371">
        <f t="shared" si="31"/>
        <v>0</v>
      </c>
      <c r="N73" s="371">
        <f t="shared" si="31"/>
        <v>0</v>
      </c>
      <c r="O73" s="371">
        <f t="shared" si="31"/>
        <v>0</v>
      </c>
      <c r="P73" s="372">
        <f>P70+P71</f>
        <v>0</v>
      </c>
      <c r="U73" s="173"/>
      <c r="V73" s="173"/>
      <c r="X73" s="121"/>
    </row>
    <row r="74" spans="2:24" s="173" customFormat="1" ht="18" customHeight="1" thickBot="1" x14ac:dyDescent="0.3">
      <c r="B74" s="331"/>
      <c r="C74" s="359"/>
      <c r="D74" s="412"/>
      <c r="E74" s="412"/>
      <c r="F74" s="412"/>
      <c r="G74" s="413"/>
      <c r="H74" s="413" t="s">
        <v>322</v>
      </c>
      <c r="I74" s="414"/>
      <c r="J74" s="414"/>
      <c r="K74" s="415">
        <f>IF(E8=0,0,K73/$E$8)</f>
        <v>4250</v>
      </c>
      <c r="L74" s="378"/>
      <c r="M74" s="378"/>
      <c r="N74" s="378"/>
      <c r="O74" s="379"/>
      <c r="P74" s="379"/>
      <c r="Q74" s="177"/>
      <c r="R74" s="304"/>
      <c r="S74" s="125"/>
    </row>
    <row r="75" spans="2:24" s="125" customFormat="1" ht="14.4" thickBot="1" x14ac:dyDescent="0.3">
      <c r="C75" s="383"/>
      <c r="D75" s="383"/>
      <c r="E75" s="383"/>
      <c r="F75" s="383"/>
      <c r="G75" s="383"/>
      <c r="H75" s="383"/>
      <c r="I75" s="416"/>
      <c r="J75" s="416"/>
      <c r="K75" s="416"/>
      <c r="L75" s="416"/>
      <c r="M75" s="416"/>
      <c r="N75" s="416"/>
      <c r="O75" s="416"/>
      <c r="P75" s="416"/>
      <c r="Q75" s="122"/>
      <c r="R75" s="121"/>
    </row>
    <row r="76" spans="2:24" s="125" customFormat="1" ht="24.6" customHeight="1" thickBot="1" x14ac:dyDescent="0.3">
      <c r="B76" s="366" t="s">
        <v>323</v>
      </c>
      <c r="C76" s="366"/>
      <c r="D76" s="367"/>
      <c r="E76" s="368"/>
      <c r="F76" s="367"/>
      <c r="G76" s="369"/>
      <c r="H76" s="370"/>
      <c r="I76" s="371">
        <f t="shared" ref="I76:P76" si="32">I73-I63</f>
        <v>-11055.38613861386</v>
      </c>
      <c r="J76" s="371">
        <f t="shared" si="32"/>
        <v>3402</v>
      </c>
      <c r="K76" s="372">
        <f t="shared" si="32"/>
        <v>-14457.38613861386</v>
      </c>
      <c r="L76" s="371">
        <f t="shared" si="32"/>
        <v>0</v>
      </c>
      <c r="M76" s="371">
        <f t="shared" si="32"/>
        <v>0</v>
      </c>
      <c r="N76" s="371">
        <f t="shared" si="32"/>
        <v>0</v>
      </c>
      <c r="O76" s="371">
        <f t="shared" si="32"/>
        <v>0</v>
      </c>
      <c r="P76" s="372">
        <f t="shared" si="32"/>
        <v>0</v>
      </c>
      <c r="Q76" s="204">
        <f>IF($K$73=0,0,K76/$K$73)</f>
        <v>-0.24298127964056906</v>
      </c>
      <c r="R76" s="205" t="s">
        <v>246</v>
      </c>
      <c r="U76" s="173"/>
      <c r="V76" s="173"/>
      <c r="X76" s="121"/>
    </row>
    <row r="77" spans="2:24" s="125" customFormat="1" ht="22.95" hidden="1" customHeight="1" thickBot="1" x14ac:dyDescent="0.3">
      <c r="B77" s="366" t="s">
        <v>324</v>
      </c>
      <c r="C77" s="366"/>
      <c r="D77" s="367"/>
      <c r="E77" s="368"/>
      <c r="F77" s="367"/>
      <c r="G77" s="369"/>
      <c r="H77" s="370"/>
      <c r="I77" s="371">
        <f>'Budget détaillé heures comp'!I75</f>
        <v>28830.562277227727</v>
      </c>
      <c r="J77" s="371">
        <f>'Budget détaillé heures comp'!J75</f>
        <v>3402</v>
      </c>
      <c r="K77" s="372">
        <f>'Budget détaillé heures comp'!K75</f>
        <v>25428.562277227727</v>
      </c>
      <c r="L77" s="371"/>
      <c r="M77" s="371"/>
      <c r="N77" s="371"/>
      <c r="O77" s="371"/>
      <c r="P77" s="372"/>
      <c r="Q77" s="204">
        <f>IF($K$73=0,0,K77/$K$73)</f>
        <v>0.4273707945752559</v>
      </c>
      <c r="R77" s="205" t="s">
        <v>246</v>
      </c>
      <c r="U77" s="173"/>
      <c r="V77" s="173"/>
      <c r="X77" s="121"/>
    </row>
    <row r="78" spans="2:24" ht="13.8" x14ac:dyDescent="0.25">
      <c r="B78" s="125"/>
      <c r="C78" s="125"/>
      <c r="D78" s="125"/>
      <c r="E78" s="125"/>
      <c r="F78" s="125"/>
      <c r="G78" s="125"/>
      <c r="H78" s="163"/>
      <c r="I78" s="164"/>
      <c r="J78" s="165"/>
      <c r="K78" s="163"/>
      <c r="L78" s="163"/>
      <c r="M78" s="163"/>
      <c r="N78" s="163"/>
      <c r="O78" s="163"/>
      <c r="P78" s="163"/>
      <c r="Q78" s="121"/>
      <c r="R78" s="121"/>
      <c r="S78" s="125"/>
      <c r="T78" s="125"/>
      <c r="U78" s="125"/>
      <c r="V78" s="125"/>
      <c r="W78" s="125"/>
      <c r="X78" s="125"/>
    </row>
  </sheetData>
  <sheetProtection formatRows="0" autoFilter="0"/>
  <mergeCells count="23">
    <mergeCell ref="B28:F28"/>
    <mergeCell ref="C30:F30"/>
    <mergeCell ref="C31:F31"/>
    <mergeCell ref="B33:F33"/>
    <mergeCell ref="B67:K67"/>
    <mergeCell ref="C27:F27"/>
    <mergeCell ref="H7:K7"/>
    <mergeCell ref="B11:K11"/>
    <mergeCell ref="C13:F13"/>
    <mergeCell ref="C16:F16"/>
    <mergeCell ref="C17:F17"/>
    <mergeCell ref="C18:F18"/>
    <mergeCell ref="C19:F19"/>
    <mergeCell ref="B20:F20"/>
    <mergeCell ref="C23:F23"/>
    <mergeCell ref="C25:F25"/>
    <mergeCell ref="C26:F26"/>
    <mergeCell ref="B2:K2"/>
    <mergeCell ref="L2:P2"/>
    <mergeCell ref="D5:E5"/>
    <mergeCell ref="H5:K5"/>
    <mergeCell ref="D6:E6"/>
    <mergeCell ref="H6:K6"/>
  </mergeCells>
  <printOptions horizontalCentered="1" verticalCentered="1"/>
  <pageMargins left="0.25" right="0.25" top="0.75" bottom="0.75" header="0.3" footer="0.3"/>
  <pageSetup paperSize="8" scale="56"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6"/>
  <sheetViews>
    <sheetView showGridLines="0" showZeros="0" zoomScale="85" zoomScaleNormal="85" zoomScaleSheetLayoutView="70" workbookViewId="0">
      <pane ySplit="9" topLeftCell="A10" activePane="bottomLeft" state="frozen"/>
      <selection pane="bottomLeft" activeCell="U68" sqref="U68"/>
    </sheetView>
  </sheetViews>
  <sheetFormatPr baseColWidth="10" defaultColWidth="11.44140625" defaultRowHeight="13.2" outlineLevelRow="2" outlineLevelCol="1" x14ac:dyDescent="0.25"/>
  <cols>
    <col min="1" max="1" width="1.33203125" customWidth="1"/>
    <col min="2" max="2" width="5.6640625" customWidth="1"/>
    <col min="3" max="3" width="14.6640625" customWidth="1"/>
    <col min="4" max="4" width="16.44140625" customWidth="1"/>
    <col min="5" max="5" width="14.6640625" customWidth="1"/>
    <col min="6" max="6" width="4.6640625" customWidth="1"/>
    <col min="7" max="7" width="10.6640625" customWidth="1"/>
    <col min="8" max="11" width="11" customWidth="1"/>
    <col min="12" max="16" width="11" hidden="1" customWidth="1" outlineLevel="1"/>
    <col min="17" max="17" width="9.33203125" customWidth="1" collapsed="1"/>
    <col min="18" max="18" width="6.88671875" customWidth="1"/>
    <col min="19" max="19" width="6.109375" customWidth="1"/>
    <col min="20" max="20" width="11.33203125" bestFit="1" customWidth="1"/>
    <col min="21" max="21" width="24.5546875" bestFit="1" customWidth="1"/>
  </cols>
  <sheetData>
    <row r="1" spans="1:22" ht="7.2" customHeight="1" thickBot="1" x14ac:dyDescent="0.3">
      <c r="A1" s="125"/>
      <c r="B1" s="125"/>
      <c r="C1" s="125"/>
      <c r="D1" s="125"/>
      <c r="E1" s="125"/>
      <c r="F1" s="125"/>
      <c r="G1" s="125"/>
      <c r="H1" s="163"/>
      <c r="I1" s="164"/>
      <c r="J1" s="165"/>
      <c r="K1" s="163"/>
      <c r="L1" s="163"/>
      <c r="M1" s="163"/>
      <c r="N1" s="163"/>
      <c r="O1" s="163"/>
      <c r="P1" s="163"/>
      <c r="Q1" s="121"/>
      <c r="R1" s="121"/>
      <c r="S1" s="125"/>
      <c r="T1" s="125"/>
      <c r="U1" s="125"/>
      <c r="V1" s="125"/>
    </row>
    <row r="2" spans="1:22" ht="28.2" customHeight="1" thickBot="1" x14ac:dyDescent="0.3">
      <c r="A2" s="125"/>
      <c r="B2" s="492" t="s">
        <v>230</v>
      </c>
      <c r="C2" s="493"/>
      <c r="D2" s="493"/>
      <c r="E2" s="493"/>
      <c r="F2" s="493"/>
      <c r="G2" s="493"/>
      <c r="H2" s="493"/>
      <c r="I2" s="493"/>
      <c r="J2" s="493"/>
      <c r="K2" s="494"/>
      <c r="L2" s="492" t="s">
        <v>231</v>
      </c>
      <c r="M2" s="493"/>
      <c r="N2" s="493"/>
      <c r="O2" s="493"/>
      <c r="P2" s="494"/>
      <c r="Q2" s="121"/>
      <c r="R2" s="121"/>
      <c r="S2" s="125"/>
      <c r="T2" s="125"/>
      <c r="U2" s="125"/>
      <c r="V2" s="125"/>
    </row>
    <row r="3" spans="1:22" ht="6.75" customHeight="1" x14ac:dyDescent="0.25">
      <c r="A3" s="125"/>
      <c r="B3" s="166"/>
      <c r="C3" s="166"/>
      <c r="D3" s="166"/>
      <c r="E3" s="166"/>
      <c r="F3" s="166"/>
      <c r="G3" s="166"/>
      <c r="H3" s="166"/>
      <c r="I3" s="166"/>
      <c r="J3" s="166"/>
      <c r="K3" s="166"/>
      <c r="L3" s="166"/>
      <c r="M3" s="166"/>
      <c r="N3" s="166"/>
      <c r="O3" s="166"/>
      <c r="P3" s="166"/>
      <c r="Q3" s="121"/>
      <c r="R3" s="121"/>
      <c r="S3" s="125"/>
      <c r="T3" s="125"/>
      <c r="U3" s="125"/>
      <c r="V3" s="125"/>
    </row>
    <row r="4" spans="1:22" ht="5.25" customHeight="1" x14ac:dyDescent="0.25">
      <c r="A4" s="125"/>
      <c r="B4" s="125"/>
      <c r="C4" s="125"/>
      <c r="D4" s="125"/>
      <c r="E4" s="125"/>
      <c r="F4" s="163"/>
      <c r="G4" s="163"/>
      <c r="H4" s="163"/>
      <c r="I4" s="163"/>
      <c r="J4" s="165"/>
      <c r="K4" s="163"/>
      <c r="L4" s="163"/>
      <c r="M4" s="163"/>
      <c r="N4" s="163"/>
      <c r="O4" s="163"/>
      <c r="P4" s="163"/>
      <c r="Q4" s="121"/>
      <c r="R4" s="121"/>
      <c r="S4" s="125"/>
      <c r="T4" s="125"/>
      <c r="U4" s="125"/>
      <c r="V4" s="125"/>
    </row>
    <row r="5" spans="1:22" ht="22.2" customHeight="1" x14ac:dyDescent="0.25">
      <c r="A5" s="125"/>
      <c r="B5" s="125"/>
      <c r="C5" s="167" t="s">
        <v>120</v>
      </c>
      <c r="D5" s="531" t="str">
        <f>'Recettes et simulat'!D4</f>
        <v>Université Lumière Lyon 2</v>
      </c>
      <c r="E5" s="532"/>
      <c r="F5" s="125"/>
      <c r="G5" s="167" t="s">
        <v>122</v>
      </c>
      <c r="H5" s="531" t="str">
        <f>'Recettes et simulat'!H4</f>
        <v>Master</v>
      </c>
      <c r="I5" s="533"/>
      <c r="J5" s="533"/>
      <c r="K5" s="532"/>
      <c r="L5" s="163"/>
      <c r="M5" s="163"/>
      <c r="N5" s="163"/>
      <c r="O5" s="163"/>
      <c r="P5" s="163"/>
      <c r="Q5" s="121"/>
      <c r="R5" s="121"/>
      <c r="S5" s="125"/>
      <c r="T5" s="125"/>
      <c r="U5" s="129" t="s">
        <v>131</v>
      </c>
      <c r="V5" s="125"/>
    </row>
    <row r="6" spans="1:22" ht="22.2" customHeight="1" x14ac:dyDescent="0.25">
      <c r="A6" s="125"/>
      <c r="B6" s="125"/>
      <c r="C6" s="166" t="s">
        <v>124</v>
      </c>
      <c r="D6" s="531" t="str">
        <f>'Recettes et simulat'!D5</f>
        <v>En cours</v>
      </c>
      <c r="E6" s="532"/>
      <c r="F6" s="125"/>
      <c r="G6" s="167" t="s">
        <v>232</v>
      </c>
      <c r="H6" s="531" t="str">
        <f>'Recettes et simulat'!H5</f>
        <v xml:space="preserve">Economie sociale et solidaire </v>
      </c>
      <c r="I6" s="533"/>
      <c r="J6" s="533"/>
      <c r="K6" s="532"/>
      <c r="L6" s="163"/>
      <c r="M6" s="163"/>
      <c r="N6" s="163"/>
      <c r="O6" s="163"/>
      <c r="P6" s="163"/>
      <c r="Q6" s="121"/>
      <c r="R6" s="121"/>
      <c r="S6" s="125"/>
      <c r="T6" s="125"/>
      <c r="U6" s="125"/>
      <c r="V6" s="125"/>
    </row>
    <row r="7" spans="1:22" ht="22.2" customHeight="1" x14ac:dyDescent="0.25">
      <c r="A7" s="125"/>
      <c r="B7" s="125"/>
      <c r="C7" s="168" t="s">
        <v>128</v>
      </c>
      <c r="D7" s="169"/>
      <c r="E7" s="28">
        <f>'Recettes et simulat'!E6</f>
        <v>14</v>
      </c>
      <c r="F7" s="125"/>
      <c r="G7" s="167" t="s">
        <v>129</v>
      </c>
      <c r="H7" s="531" t="str">
        <f>'Recettes et simulat'!H6</f>
        <v>SEG - Sciences Economiques et de Gestion</v>
      </c>
      <c r="I7" s="533"/>
      <c r="J7" s="533"/>
      <c r="K7" s="532"/>
      <c r="L7" s="163"/>
      <c r="M7" s="163"/>
      <c r="N7" s="163"/>
      <c r="O7" s="163"/>
      <c r="P7" s="163"/>
      <c r="Q7" s="121"/>
      <c r="R7" s="121"/>
      <c r="S7" s="125"/>
      <c r="T7" s="125"/>
      <c r="U7" s="125"/>
      <c r="V7" s="125"/>
    </row>
    <row r="8" spans="1:22" ht="22.2" customHeight="1" x14ac:dyDescent="0.25">
      <c r="A8" s="125"/>
      <c r="B8" s="125"/>
      <c r="C8" s="168" t="s">
        <v>132</v>
      </c>
      <c r="D8" s="169"/>
      <c r="E8" s="28">
        <f>'Recettes et simulat'!E7</f>
        <v>14</v>
      </c>
      <c r="F8" s="125"/>
      <c r="G8" s="130" t="s">
        <v>133</v>
      </c>
      <c r="H8" s="125"/>
      <c r="I8" s="125"/>
      <c r="J8" s="170">
        <f>'Recettes et simulat'!J7</f>
        <v>2021</v>
      </c>
      <c r="K8" s="170">
        <f>'Recettes et simulat'!K7</f>
        <v>2022</v>
      </c>
      <c r="L8" s="125"/>
      <c r="M8" s="125"/>
      <c r="N8" s="125"/>
      <c r="O8" s="125"/>
      <c r="P8" s="125"/>
      <c r="Q8" s="121"/>
      <c r="R8" s="121"/>
      <c r="S8" s="125"/>
      <c r="T8" s="125"/>
      <c r="U8" s="125"/>
      <c r="V8" s="125"/>
    </row>
    <row r="9" spans="1:22" ht="22.2" customHeight="1" x14ac:dyDescent="0.25">
      <c r="A9" s="125"/>
      <c r="B9" s="125"/>
      <c r="C9" s="125"/>
      <c r="D9" s="125"/>
      <c r="E9" s="125"/>
      <c r="F9" s="125"/>
      <c r="G9" s="171"/>
      <c r="H9" s="125"/>
      <c r="I9" s="125"/>
      <c r="J9" s="125"/>
      <c r="K9" s="125"/>
      <c r="L9" s="125"/>
      <c r="M9" s="125"/>
      <c r="N9" s="125"/>
      <c r="O9" s="125"/>
      <c r="P9" s="125"/>
      <c r="Q9" s="121"/>
      <c r="R9" s="121"/>
      <c r="S9" s="125"/>
      <c r="T9" s="125"/>
      <c r="U9" s="172"/>
      <c r="V9" s="172"/>
    </row>
    <row r="10" spans="1:22" s="173" customFormat="1" ht="16.95" customHeight="1" thickBot="1" x14ac:dyDescent="0.3">
      <c r="C10" s="174"/>
      <c r="D10" s="174"/>
      <c r="E10" s="174"/>
      <c r="F10" s="174"/>
      <c r="G10" s="175"/>
      <c r="H10" s="175"/>
      <c r="I10" s="176"/>
      <c r="Q10" s="121"/>
      <c r="R10" s="177"/>
      <c r="S10" s="125"/>
      <c r="T10" s="172"/>
      <c r="U10" s="121"/>
      <c r="V10" s="125"/>
    </row>
    <row r="11" spans="1:22" ht="24.6" customHeight="1" thickBot="1" x14ac:dyDescent="0.3">
      <c r="A11" s="125"/>
      <c r="B11" s="492" t="s">
        <v>233</v>
      </c>
      <c r="C11" s="493"/>
      <c r="D11" s="493"/>
      <c r="E11" s="493"/>
      <c r="F11" s="493"/>
      <c r="G11" s="493"/>
      <c r="H11" s="493"/>
      <c r="I11" s="493"/>
      <c r="J11" s="493"/>
      <c r="K11" s="494"/>
      <c r="L11" s="178"/>
      <c r="M11" s="179"/>
      <c r="N11" s="179"/>
      <c r="O11" s="179"/>
      <c r="P11" s="180"/>
      <c r="Q11" s="121"/>
      <c r="R11" s="121"/>
      <c r="S11" s="125"/>
      <c r="T11" s="121"/>
      <c r="U11" s="121"/>
      <c r="V11" s="121"/>
    </row>
    <row r="12" spans="1:22" s="121" customFormat="1" ht="12.6" customHeight="1" thickBot="1" x14ac:dyDescent="0.3">
      <c r="B12" s="181"/>
      <c r="C12" s="182"/>
      <c r="D12" s="182"/>
      <c r="E12" s="182"/>
      <c r="F12" s="182"/>
      <c r="G12" s="182"/>
      <c r="H12" s="182"/>
      <c r="I12" s="182"/>
      <c r="J12" s="182"/>
      <c r="K12" s="182"/>
      <c r="L12" s="182"/>
      <c r="M12" s="182"/>
      <c r="N12" s="182"/>
      <c r="O12" s="182"/>
      <c r="P12" s="183"/>
      <c r="V12" s="125"/>
    </row>
    <row r="13" spans="1:22" s="125" customFormat="1" ht="69.599999999999994" thickBot="1" x14ac:dyDescent="0.3">
      <c r="B13" s="184" t="s">
        <v>234</v>
      </c>
      <c r="C13" s="537" t="s">
        <v>235</v>
      </c>
      <c r="D13" s="538"/>
      <c r="E13" s="538"/>
      <c r="F13" s="539"/>
      <c r="G13" s="185" t="s">
        <v>236</v>
      </c>
      <c r="H13" s="186" t="s">
        <v>237</v>
      </c>
      <c r="I13" s="186" t="s">
        <v>238</v>
      </c>
      <c r="J13" s="187" t="s">
        <v>239</v>
      </c>
      <c r="K13" s="188" t="s">
        <v>240</v>
      </c>
      <c r="L13" s="189" t="s">
        <v>241</v>
      </c>
      <c r="M13" s="190" t="s">
        <v>242</v>
      </c>
      <c r="N13" s="190" t="s">
        <v>243</v>
      </c>
      <c r="O13" s="191" t="s">
        <v>244</v>
      </c>
      <c r="P13" s="192" t="s">
        <v>145</v>
      </c>
      <c r="Q13" s="193"/>
      <c r="R13" s="194"/>
      <c r="T13" s="121"/>
      <c r="U13" s="121"/>
      <c r="V13" s="173"/>
    </row>
    <row r="14" spans="1:22" s="173" customFormat="1" ht="21.6" customHeight="1" thickBot="1" x14ac:dyDescent="0.3">
      <c r="B14" s="195" t="s">
        <v>245</v>
      </c>
      <c r="C14" s="196"/>
      <c r="D14" s="197"/>
      <c r="E14" s="197"/>
      <c r="F14" s="197"/>
      <c r="G14" s="198">
        <f>G20+G27+G32</f>
        <v>270</v>
      </c>
      <c r="H14" s="199">
        <f>IF(G20+G27+G32=0,0,(I20+I27+I32)/(G20+G27+G32))</f>
        <v>41.983102676934358</v>
      </c>
      <c r="I14" s="200">
        <f>I20+I32+I27</f>
        <v>11335.437722772276</v>
      </c>
      <c r="J14" s="201">
        <f>J20+J32+J27</f>
        <v>0</v>
      </c>
      <c r="K14" s="202">
        <f>K20+K32+K27</f>
        <v>11335.437722772276</v>
      </c>
      <c r="L14" s="203">
        <f>L20+L32+L27</f>
        <v>0</v>
      </c>
      <c r="M14" s="199">
        <f>M20+M32+M27</f>
        <v>0</v>
      </c>
      <c r="N14" s="200">
        <f t="shared" ref="N14:O14" si="0">N20+N32+N27</f>
        <v>0</v>
      </c>
      <c r="O14" s="199">
        <f t="shared" si="0"/>
        <v>0</v>
      </c>
      <c r="P14" s="202">
        <f>P20+P32+P27</f>
        <v>0</v>
      </c>
      <c r="Q14" s="204">
        <f>IF($K$72=0,0,K14/$K$72)</f>
        <v>0.1905115583659206</v>
      </c>
      <c r="R14" s="205" t="s">
        <v>246</v>
      </c>
      <c r="S14" s="125"/>
      <c r="T14" s="121"/>
      <c r="U14" s="121"/>
      <c r="V14" s="125"/>
    </row>
    <row r="15" spans="1:22" s="125" customFormat="1" ht="16.95" customHeight="1" outlineLevel="1" x14ac:dyDescent="0.25">
      <c r="B15" s="206" t="s">
        <v>247</v>
      </c>
      <c r="C15" s="207" t="s">
        <v>248</v>
      </c>
      <c r="D15" s="208"/>
      <c r="E15" s="208"/>
      <c r="F15" s="209"/>
      <c r="G15" s="210"/>
      <c r="H15" s="211"/>
      <c r="I15" s="210"/>
      <c r="J15" s="210"/>
      <c r="K15" s="212"/>
      <c r="L15" s="213"/>
      <c r="M15" s="211"/>
      <c r="N15" s="211"/>
      <c r="O15" s="211"/>
      <c r="P15" s="212"/>
      <c r="Q15" s="214"/>
      <c r="R15" s="215"/>
      <c r="S15" s="215"/>
      <c r="T15" s="215"/>
      <c r="U15" s="141"/>
      <c r="V15" s="173"/>
    </row>
    <row r="16" spans="1:22" s="173" customFormat="1" ht="16.95" customHeight="1" outlineLevel="1" x14ac:dyDescent="0.25">
      <c r="B16" s="216" t="s">
        <v>249</v>
      </c>
      <c r="C16" s="534" t="s">
        <v>79</v>
      </c>
      <c r="D16" s="535"/>
      <c r="E16" s="535"/>
      <c r="F16" s="536"/>
      <c r="G16" s="436">
        <f>'Budget détaillé'!G16</f>
        <v>131</v>
      </c>
      <c r="H16" s="218">
        <v>43.48</v>
      </c>
      <c r="I16" s="219">
        <f>H16*G16</f>
        <v>5695.8799999999992</v>
      </c>
      <c r="J16" s="219">
        <f>I16-K16</f>
        <v>0</v>
      </c>
      <c r="K16" s="220">
        <f>IF($E$7=0,0,I16/$E$7*$E$8)</f>
        <v>5695.8799999999992</v>
      </c>
      <c r="L16" s="221"/>
      <c r="M16" s="131"/>
      <c r="N16" s="131"/>
      <c r="O16" s="131"/>
      <c r="P16" s="222">
        <f>SUM(L16:O16)</f>
        <v>0</v>
      </c>
      <c r="Q16" s="223">
        <f>IF($I16=0,0,$G16*$J16/$I16)</f>
        <v>0</v>
      </c>
      <c r="R16" s="223">
        <f>IF($I16=0,0,IF($P16=0,0,$G16*$J16/$I16*L16/$P16))</f>
        <v>0</v>
      </c>
      <c r="S16" s="223">
        <f t="shared" ref="S16:U19" si="1">IF($I16=0,0,IF($P16=0,0,$G16*$J16/$I16*M16/$P16))</f>
        <v>0</v>
      </c>
      <c r="T16" s="223">
        <f t="shared" si="1"/>
        <v>0</v>
      </c>
      <c r="U16" s="223">
        <f>IF($I16=0,0,IF($P16=0,0,$G16*$J16/$I16*O16/$P16))</f>
        <v>0</v>
      </c>
      <c r="V16" s="224">
        <f>G16-Q16</f>
        <v>131</v>
      </c>
    </row>
    <row r="17" spans="2:23" s="173" customFormat="1" ht="16.95" customHeight="1" outlineLevel="1" x14ac:dyDescent="0.25">
      <c r="B17" s="216" t="s">
        <v>250</v>
      </c>
      <c r="C17" s="534" t="s">
        <v>80</v>
      </c>
      <c r="D17" s="535"/>
      <c r="E17" s="535"/>
      <c r="F17" s="536"/>
      <c r="G17" s="436">
        <f>'Budget détaillé'!G17</f>
        <v>15</v>
      </c>
      <c r="H17" s="440">
        <f>ROUND(41.41*1.4319,2)</f>
        <v>59.29</v>
      </c>
      <c r="I17" s="226">
        <f>H17*G17</f>
        <v>889.35</v>
      </c>
      <c r="J17" s="219">
        <f t="shared" ref="J17:J19" si="2">I17-K17</f>
        <v>0</v>
      </c>
      <c r="K17" s="220">
        <f t="shared" ref="K17:K19" si="3">IF($E$7=0,0,I17/$E$7*$E$8)</f>
        <v>889.35</v>
      </c>
      <c r="L17" s="221"/>
      <c r="M17" s="131"/>
      <c r="N17" s="131"/>
      <c r="O17" s="131"/>
      <c r="P17" s="227">
        <f>SUM(L17:O17)</f>
        <v>0</v>
      </c>
      <c r="Q17" s="223">
        <f>IF($I17=0,0,$G17*$J17/$I17)</f>
        <v>0</v>
      </c>
      <c r="R17" s="223">
        <f t="shared" ref="R17:R19" si="4">IF($I17=0,0,IF($P17=0,0,$G17*$J17/$I17*L17/$P17))</f>
        <v>0</v>
      </c>
      <c r="S17" s="223">
        <f t="shared" si="1"/>
        <v>0</v>
      </c>
      <c r="T17" s="223">
        <f t="shared" si="1"/>
        <v>0</v>
      </c>
      <c r="U17" s="223">
        <f t="shared" si="1"/>
        <v>0</v>
      </c>
      <c r="V17" s="224">
        <f t="shared" ref="V17:V18" si="5">G17-Q17</f>
        <v>15</v>
      </c>
    </row>
    <row r="18" spans="2:23" s="173" customFormat="1" ht="16.95" customHeight="1" outlineLevel="1" x14ac:dyDescent="0.25">
      <c r="B18" s="216" t="s">
        <v>251</v>
      </c>
      <c r="C18" s="534" t="s">
        <v>252</v>
      </c>
      <c r="D18" s="535"/>
      <c r="E18" s="535"/>
      <c r="F18" s="536"/>
      <c r="G18" s="436">
        <f>'Budget détaillé'!G18</f>
        <v>56</v>
      </c>
      <c r="H18" s="218">
        <v>52</v>
      </c>
      <c r="I18" s="226">
        <f>H18*G18</f>
        <v>2912</v>
      </c>
      <c r="J18" s="219">
        <f t="shared" si="2"/>
        <v>0</v>
      </c>
      <c r="K18" s="220">
        <f t="shared" si="3"/>
        <v>2912</v>
      </c>
      <c r="L18" s="221"/>
      <c r="M18" s="131"/>
      <c r="N18" s="131"/>
      <c r="O18" s="131"/>
      <c r="P18" s="227">
        <f>SUM(L18:O18)</f>
        <v>0</v>
      </c>
      <c r="Q18" s="223">
        <f>IF($I18=0,0,$G18*$J18/$I18)</f>
        <v>0</v>
      </c>
      <c r="R18" s="223">
        <f>IF($I18=0,0,IF($P18=0,0,$G18*$J18/$I18*L18/$P18))</f>
        <v>0</v>
      </c>
      <c r="S18" s="223">
        <f t="shared" si="1"/>
        <v>0</v>
      </c>
      <c r="T18" s="223">
        <f t="shared" si="1"/>
        <v>0</v>
      </c>
      <c r="U18" s="223">
        <f t="shared" si="1"/>
        <v>0</v>
      </c>
      <c r="V18" s="224">
        <f t="shared" si="5"/>
        <v>56</v>
      </c>
    </row>
    <row r="19" spans="2:23" s="173" customFormat="1" ht="18.600000000000001" customHeight="1" outlineLevel="1" x14ac:dyDescent="0.25">
      <c r="B19" s="216" t="s">
        <v>253</v>
      </c>
      <c r="C19" s="534" t="s">
        <v>254</v>
      </c>
      <c r="D19" s="535"/>
      <c r="E19" s="535"/>
      <c r="F19" s="536"/>
      <c r="G19" s="436">
        <f>'Budget détaillé'!G19</f>
        <v>0</v>
      </c>
      <c r="H19" s="228">
        <f>'Budget détaillé'!H19</f>
        <v>0</v>
      </c>
      <c r="I19" s="226">
        <f t="shared" ref="I19" si="6">H19*G19</f>
        <v>0</v>
      </c>
      <c r="J19" s="219">
        <f t="shared" si="2"/>
        <v>0</v>
      </c>
      <c r="K19" s="220">
        <f t="shared" si="3"/>
        <v>0</v>
      </c>
      <c r="L19" s="221"/>
      <c r="M19" s="221"/>
      <c r="N19" s="229"/>
      <c r="O19" s="131"/>
      <c r="P19" s="227">
        <f>SUM(L19:O19)</f>
        <v>0</v>
      </c>
      <c r="Q19" s="223">
        <f>IF($I19=0,0,$G19*$J19/$I19)</f>
        <v>0</v>
      </c>
      <c r="R19" s="223">
        <f t="shared" si="4"/>
        <v>0</v>
      </c>
      <c r="S19" s="223">
        <f>IF($I19=0,0,IF($P19=0,0,$G19*$J19/$I19*M19/$P19))</f>
        <v>0</v>
      </c>
      <c r="T19" s="223">
        <f t="shared" si="1"/>
        <v>0</v>
      </c>
      <c r="U19" s="223">
        <f t="shared" si="1"/>
        <v>0</v>
      </c>
      <c r="V19" s="224">
        <f>G19-Q19</f>
        <v>0</v>
      </c>
    </row>
    <row r="20" spans="2:23" s="173" customFormat="1" ht="22.2" customHeight="1" outlineLevel="1" thickBot="1" x14ac:dyDescent="0.3">
      <c r="B20" s="540" t="s">
        <v>255</v>
      </c>
      <c r="C20" s="541"/>
      <c r="D20" s="541"/>
      <c r="E20" s="541"/>
      <c r="F20" s="542"/>
      <c r="G20" s="230">
        <f>SUM(G16:G19)</f>
        <v>202</v>
      </c>
      <c r="H20" s="231">
        <f>IF(G20=0,0,I20/G20)</f>
        <v>47.015990099009898</v>
      </c>
      <c r="I20" s="232">
        <f>SUM(I16:I19)</f>
        <v>9497.23</v>
      </c>
      <c r="J20" s="233">
        <f>SUM(J16:J19)</f>
        <v>0</v>
      </c>
      <c r="K20" s="234">
        <f>SUM(K16:K19)</f>
        <v>9497.23</v>
      </c>
      <c r="L20" s="235">
        <f>SUM(L16:L19)</f>
        <v>0</v>
      </c>
      <c r="M20" s="232">
        <f>SUM(M16:M19)</f>
        <v>0</v>
      </c>
      <c r="N20" s="232">
        <f t="shared" ref="N20:P20" si="7">SUM(N16:N19)</f>
        <v>0</v>
      </c>
      <c r="O20" s="232">
        <f t="shared" si="7"/>
        <v>0</v>
      </c>
      <c r="P20" s="234">
        <f t="shared" si="7"/>
        <v>0</v>
      </c>
      <c r="Q20" s="204">
        <f>IF($K$72=0,0,K20/$K$72)</f>
        <v>0.15961731092436973</v>
      </c>
      <c r="R20" s="205" t="s">
        <v>246</v>
      </c>
      <c r="S20" s="125"/>
      <c r="T20" s="121"/>
      <c r="U20" s="121"/>
      <c r="V20" s="125"/>
    </row>
    <row r="21" spans="2:23" s="125" customFormat="1" ht="16.95" customHeight="1" outlineLevel="1" x14ac:dyDescent="0.25">
      <c r="B21" s="206" t="s">
        <v>5</v>
      </c>
      <c r="C21" s="207" t="s">
        <v>6</v>
      </c>
      <c r="D21" s="208"/>
      <c r="E21" s="208"/>
      <c r="F21" s="209"/>
      <c r="G21" s="210"/>
      <c r="H21" s="211"/>
      <c r="I21" s="210"/>
      <c r="J21" s="210"/>
      <c r="K21" s="212"/>
      <c r="L21" s="213"/>
      <c r="M21" s="211"/>
      <c r="N21" s="211"/>
      <c r="O21" s="211"/>
      <c r="P21" s="212"/>
      <c r="Q21" s="236"/>
      <c r="R21" s="121"/>
      <c r="S21" s="121"/>
      <c r="T21" s="121"/>
      <c r="U21" s="173"/>
      <c r="V21" s="173"/>
    </row>
    <row r="22" spans="2:23" s="173" customFormat="1" ht="16.95" customHeight="1" outlineLevel="1" x14ac:dyDescent="0.25">
      <c r="B22" s="216" t="s">
        <v>7</v>
      </c>
      <c r="C22" s="237" t="s">
        <v>256</v>
      </c>
      <c r="D22" s="238"/>
      <c r="E22" s="238"/>
      <c r="F22" s="239"/>
      <c r="G22" s="217">
        <f>'Budget détaillé'!G22</f>
        <v>0</v>
      </c>
      <c r="H22" s="218">
        <f>IF(G22=0,0,(SUMIF(Enseignements!$F$7:$F$132,Paramétrage!$C$15,Enseignements!T$7:T$132)*$H$16+SUMIF(Enseignements!$F$7:$F$132,Paramétrage!$C$15,Enseignements!U$7:U$132)*$H$17+SUMIF(Enseignements!$F$7:$F$132,Paramétrage!$C$15,Enseignements!V$7:V$132)*$H$18+SUMIF(Enseignements!$F$7:$F$132,Paramétrage!$C$15,Enseignements!W$7:W$132)*$H$19)/G22)</f>
        <v>0</v>
      </c>
      <c r="I22" s="219">
        <f>H22*G22</f>
        <v>0</v>
      </c>
      <c r="J22" s="226">
        <f>I22-K22</f>
        <v>0</v>
      </c>
      <c r="K22" s="220">
        <f t="shared" ref="K22" si="8">IF($E$7=0,0,I22/$E$7*$E$8)</f>
        <v>0</v>
      </c>
      <c r="L22" s="221"/>
      <c r="M22" s="229"/>
      <c r="N22" s="229"/>
      <c r="O22" s="131"/>
      <c r="P22" s="222">
        <f>SUM(L22:O22)</f>
        <v>0</v>
      </c>
      <c r="Q22" s="223">
        <f>IF($I22=0,0,$G22*$J22/$I22)</f>
        <v>0</v>
      </c>
      <c r="R22" s="223">
        <f t="shared" ref="R22:T26" si="9">IF($I22=0,0,IF($P22=0,0,$G22*$J22/$I22*L22/$P22))</f>
        <v>0</v>
      </c>
      <c r="S22" s="223">
        <f t="shared" si="9"/>
        <v>0</v>
      </c>
      <c r="T22" s="223">
        <f>IF($I22=0,0,IF($P22=0,0,$G22*$J22/$I22*N22/$P22))</f>
        <v>0</v>
      </c>
      <c r="U22" s="223">
        <f t="shared" ref="U22:U26" si="10">IF($I22=0,0,IF($P22=0,0,$G22*$J22/$I22*O22/$P22))</f>
        <v>0</v>
      </c>
      <c r="V22" s="223">
        <f t="shared" ref="V22:V30" si="11">G22-Q22</f>
        <v>0</v>
      </c>
      <c r="W22" s="141"/>
    </row>
    <row r="23" spans="2:23" s="173" customFormat="1" ht="16.95" customHeight="1" outlineLevel="1" x14ac:dyDescent="0.25">
      <c r="B23" s="216" t="s">
        <v>12</v>
      </c>
      <c r="C23" s="534" t="s">
        <v>13</v>
      </c>
      <c r="D23" s="535"/>
      <c r="E23" s="535"/>
      <c r="F23" s="536"/>
      <c r="G23" s="217">
        <f>'Budget détaillé'!G23</f>
        <v>28</v>
      </c>
      <c r="H23" s="218">
        <f>IF(G23=0,0,(SUMIF(Enseignements!$F$7:$F$132,Paramétrage!$C$18,Enseignements!T$7:T$132)*$H$16+SUMIF(Enseignements!$F$7:$F$132,Paramétrage!$C$18,Enseignements!U$7:U$132)*$H$17+SUMIF(Enseignements!$F$7:$F$132,Paramétrage!$C$18,Enseignements!V$7:V$132)*$H$18+SUMIF(Enseignements!$F$7:$F$132,Paramétrage!$C$18,Enseignements!W$7:W$132)*$H$19)/G23)</f>
        <v>0</v>
      </c>
      <c r="I23" s="219">
        <f>H23*G23</f>
        <v>0</v>
      </c>
      <c r="J23" s="219">
        <f>I23-K23</f>
        <v>0</v>
      </c>
      <c r="K23" s="220">
        <f>IF($E$7=0,0,I23/$E$7*$E$8)</f>
        <v>0</v>
      </c>
      <c r="L23" s="131"/>
      <c r="M23" s="131"/>
      <c r="N23" s="131"/>
      <c r="O23" s="131"/>
      <c r="P23" s="227">
        <f>SUM(L23:O23)</f>
        <v>0</v>
      </c>
      <c r="Q23" s="223">
        <f>IF($I23=0,0,$G23*$J23/$I23)</f>
        <v>0</v>
      </c>
      <c r="R23" s="223">
        <f t="shared" si="9"/>
        <v>0</v>
      </c>
      <c r="S23" s="223">
        <f t="shared" si="9"/>
        <v>0</v>
      </c>
      <c r="T23" s="223">
        <f t="shared" si="9"/>
        <v>0</v>
      </c>
      <c r="U23" s="223">
        <f t="shared" si="10"/>
        <v>0</v>
      </c>
      <c r="V23" s="223">
        <f t="shared" si="11"/>
        <v>28</v>
      </c>
      <c r="W23" s="141"/>
    </row>
    <row r="24" spans="2:23" s="173" customFormat="1" ht="16.95" customHeight="1" outlineLevel="1" x14ac:dyDescent="0.25">
      <c r="B24" s="216" t="s">
        <v>16</v>
      </c>
      <c r="C24" s="534" t="s">
        <v>258</v>
      </c>
      <c r="D24" s="535"/>
      <c r="E24" s="535"/>
      <c r="F24" s="536"/>
      <c r="G24" s="217">
        <f>'Budget détaillé'!G25</f>
        <v>0</v>
      </c>
      <c r="H24" s="218">
        <f>IF(G24=0,0,(SUMIF(Enseignements!$F$7:$F$132,Paramétrage!$C$19,Enseignements!T$7:T$132)*$H$16+SUMIF(Enseignements!$F$7:$F$132,Paramétrage!$C$19,Enseignements!U$7:U$132)*$H$17+SUMIF(Enseignements!$F$7:$F$132,Paramétrage!$C$19,Enseignements!V$7:V$132)*$H$18+SUMIF(Enseignements!$F$7:$F$132,Paramétrage!$C$19,Enseignements!W$7:W$132)*$H$19)/G24)</f>
        <v>0</v>
      </c>
      <c r="I24" s="219">
        <f>H24*G24</f>
        <v>0</v>
      </c>
      <c r="J24" s="226">
        <f>I24</f>
        <v>0</v>
      </c>
      <c r="K24" s="220">
        <v>0</v>
      </c>
      <c r="L24" s="221"/>
      <c r="M24" s="131"/>
      <c r="N24" s="131"/>
      <c r="O24" s="131"/>
      <c r="P24" s="227">
        <f>SUM(L24:O24)</f>
        <v>0</v>
      </c>
      <c r="Q24" s="223">
        <f>IF($I24=0,0,$G24*$J24/$I24)</f>
        <v>0</v>
      </c>
      <c r="R24" s="223">
        <f t="shared" si="9"/>
        <v>0</v>
      </c>
      <c r="S24" s="223">
        <f t="shared" si="9"/>
        <v>0</v>
      </c>
      <c r="T24" s="223">
        <f t="shared" si="9"/>
        <v>0</v>
      </c>
      <c r="U24" s="223">
        <f t="shared" si="10"/>
        <v>0</v>
      </c>
      <c r="V24" s="223">
        <f t="shared" si="11"/>
        <v>0</v>
      </c>
      <c r="W24" s="141"/>
    </row>
    <row r="25" spans="2:23" s="173" customFormat="1" ht="16.95" customHeight="1" outlineLevel="1" x14ac:dyDescent="0.25">
      <c r="B25" s="216" t="s">
        <v>19</v>
      </c>
      <c r="C25" s="534" t="s">
        <v>20</v>
      </c>
      <c r="D25" s="535"/>
      <c r="E25" s="535"/>
      <c r="F25" s="536"/>
      <c r="G25" s="217">
        <f>'Budget détaillé'!G26</f>
        <v>0</v>
      </c>
      <c r="H25" s="218">
        <f>IF(G25=0,0,(SUMIF(Enseignements!$F$7:$F$132,Paramétrage!$C$12,Enseignements!T$7:T$132)*$H$16+SUMIF(Enseignements!$F$7:$F$132,Paramétrage!$C$12,Enseignements!U$7:U$132)*$H$17+SUMIF(Enseignements!$F$7:$F$132,Paramétrage!$C$12,Enseignements!V$7:V$132)*$H$18+SUMIF(Enseignements!$F$7:$F$132,Paramétrage!$C$12,Enseignements!W$7:W$132)*$H$19)/G25)</f>
        <v>0</v>
      </c>
      <c r="I25" s="219">
        <f>H25*G25</f>
        <v>0</v>
      </c>
      <c r="J25" s="219">
        <f>I25-K25</f>
        <v>0</v>
      </c>
      <c r="K25" s="220">
        <f>I25</f>
        <v>0</v>
      </c>
      <c r="L25" s="221"/>
      <c r="M25" s="229"/>
      <c r="N25" s="229"/>
      <c r="O25" s="131"/>
      <c r="P25" s="227">
        <f>SUM(L25:O25)</f>
        <v>0</v>
      </c>
      <c r="Q25" s="223">
        <f>IF($I25=0,0,$G25*$J25/$I25)</f>
        <v>0</v>
      </c>
      <c r="R25" s="223">
        <f t="shared" si="9"/>
        <v>0</v>
      </c>
      <c r="S25" s="223">
        <f t="shared" si="9"/>
        <v>0</v>
      </c>
      <c r="T25" s="223">
        <f t="shared" si="9"/>
        <v>0</v>
      </c>
      <c r="U25" s="223">
        <f t="shared" si="10"/>
        <v>0</v>
      </c>
      <c r="V25" s="223">
        <f t="shared" si="11"/>
        <v>0</v>
      </c>
      <c r="W25" s="141"/>
    </row>
    <row r="26" spans="2:23" s="173" customFormat="1" ht="16.95" customHeight="1" outlineLevel="1" x14ac:dyDescent="0.25">
      <c r="B26" s="216" t="s">
        <v>22</v>
      </c>
      <c r="C26" s="534" t="s">
        <v>260</v>
      </c>
      <c r="D26" s="535"/>
      <c r="E26" s="535"/>
      <c r="F26" s="536"/>
      <c r="G26" s="217">
        <f>'Budget détaillé'!G27</f>
        <v>0</v>
      </c>
      <c r="H26" s="218">
        <f>IF(G26=0,0,(SUMIF(Enseignements!$F$7:$F$132,Paramétrage!$C$22,Enseignements!T$7:T$132)*$H$16+SUMIF(Enseignements!$F$7:$F$132,Paramétrage!$C$22,Enseignements!U$7:U$132)*$H$17+SUMIF(Enseignements!$F$7:$F$132,Paramétrage!$C$22,Enseignements!V$7:V$132)*$H$18+SUMIF(Enseignements!$F$7:$F$132,Paramétrage!$C$22,Enseignements!W$7:W$132)*$H$19)/G26)+IF(G26=0,0,(SUMIF(Enseignements!$F$7:$F$132,Paramétrage!$C$25,Enseignements!T$7:T$132)*$H$16+SUMIF(Enseignements!$F$7:$F$132,Paramétrage!$C$25,Enseignements!U$7:U$132)*$H$17+SUMIF(Enseignements!$F$7:$F$132,Paramétrage!$C$25,Enseignements!V$7:V$132)*$H$18+SUMIF(Enseignements!$F$7:$F$132,Paramétrage!$C$25,Enseignements!W$7:W$132)*$H$19)/G26)</f>
        <v>0</v>
      </c>
      <c r="I26" s="219">
        <f>H26*G26</f>
        <v>0</v>
      </c>
      <c r="J26" s="219">
        <f>I26-K26</f>
        <v>0</v>
      </c>
      <c r="K26" s="220">
        <f t="shared" ref="K26" si="12">IF($E$7=0,0,I26/$E$7*$E$8)</f>
        <v>0</v>
      </c>
      <c r="L26" s="131"/>
      <c r="M26" s="131"/>
      <c r="N26" s="131"/>
      <c r="O26" s="131"/>
      <c r="P26" s="227">
        <f>SUM(L26:O26)</f>
        <v>0</v>
      </c>
      <c r="Q26" s="223">
        <f>IF($I26=0,0,$G26*$J26/$I26)</f>
        <v>0</v>
      </c>
      <c r="R26" s="223">
        <f t="shared" si="9"/>
        <v>0</v>
      </c>
      <c r="S26" s="223">
        <f t="shared" si="9"/>
        <v>0</v>
      </c>
      <c r="T26" s="223">
        <f t="shared" si="9"/>
        <v>0</v>
      </c>
      <c r="U26" s="223">
        <f t="shared" si="10"/>
        <v>0</v>
      </c>
      <c r="V26" s="223">
        <f t="shared" si="11"/>
        <v>0</v>
      </c>
      <c r="W26" s="141"/>
    </row>
    <row r="27" spans="2:23" s="173" customFormat="1" ht="21.6" customHeight="1" outlineLevel="1" thickBot="1" x14ac:dyDescent="0.3">
      <c r="B27" s="540" t="s">
        <v>261</v>
      </c>
      <c r="C27" s="541"/>
      <c r="D27" s="541"/>
      <c r="E27" s="541"/>
      <c r="F27" s="542"/>
      <c r="G27" s="230">
        <f>SUM(G22:G26)</f>
        <v>28</v>
      </c>
      <c r="H27" s="231">
        <f>IF(G27=0,0,I27/G27)</f>
        <v>0</v>
      </c>
      <c r="I27" s="231">
        <f>SUM(I22:I26)</f>
        <v>0</v>
      </c>
      <c r="J27" s="231">
        <f t="shared" ref="J27:K27" si="13">SUM(J22:J26)</f>
        <v>0</v>
      </c>
      <c r="K27" s="231">
        <f t="shared" si="13"/>
        <v>0</v>
      </c>
      <c r="L27" s="240">
        <f>SUM(L22:L26)</f>
        <v>0</v>
      </c>
      <c r="M27" s="241">
        <f>SUM(M22:M26)</f>
        <v>0</v>
      </c>
      <c r="N27" s="242">
        <f t="shared" ref="N27:O27" si="14">SUM(N22:N26)</f>
        <v>0</v>
      </c>
      <c r="O27" s="232">
        <f t="shared" si="14"/>
        <v>0</v>
      </c>
      <c r="P27" s="234">
        <f t="shared" ref="P27" si="15">SUM(P22:P25)</f>
        <v>0</v>
      </c>
      <c r="Q27" s="204">
        <f>IF($K$72=0,0,K27/$K$72)</f>
        <v>0</v>
      </c>
      <c r="R27" s="205" t="s">
        <v>246</v>
      </c>
      <c r="S27" s="125"/>
      <c r="T27" s="172"/>
    </row>
    <row r="28" spans="2:23" s="173" customFormat="1" ht="16.95" customHeight="1" outlineLevel="1" x14ac:dyDescent="0.25">
      <c r="B28" s="243" t="s">
        <v>25</v>
      </c>
      <c r="C28" s="244" t="s">
        <v>26</v>
      </c>
      <c r="D28" s="171"/>
      <c r="E28" s="171"/>
      <c r="F28" s="245"/>
      <c r="G28" s="246"/>
      <c r="H28" s="247"/>
      <c r="I28" s="246"/>
      <c r="J28" s="246"/>
      <c r="K28" s="248"/>
      <c r="L28" s="249"/>
      <c r="M28" s="250"/>
      <c r="N28" s="250"/>
      <c r="O28" s="250"/>
      <c r="P28" s="251"/>
      <c r="Q28" s="214"/>
      <c r="R28" s="252">
        <f t="shared" ref="R28:U31" si="16">IF($I28=0,0,IF($P28=0,0,$G28*$J28/$I28*L28/$P28))</f>
        <v>0</v>
      </c>
      <c r="S28" s="252">
        <f t="shared" si="16"/>
        <v>0</v>
      </c>
      <c r="T28" s="252">
        <f t="shared" si="16"/>
        <v>0</v>
      </c>
      <c r="U28" s="253">
        <f t="shared" si="16"/>
        <v>0</v>
      </c>
      <c r="V28" s="254"/>
    </row>
    <row r="29" spans="2:23" s="173" customFormat="1" ht="16.95" customHeight="1" outlineLevel="1" x14ac:dyDescent="0.25">
      <c r="B29" s="216" t="s">
        <v>27</v>
      </c>
      <c r="C29" s="534" t="s">
        <v>262</v>
      </c>
      <c r="D29" s="535"/>
      <c r="E29" s="535"/>
      <c r="F29" s="536"/>
      <c r="G29" s="131">
        <f>'Budget détaillé'!G30</f>
        <v>12</v>
      </c>
      <c r="H29" s="218">
        <f>+H16</f>
        <v>43.48</v>
      </c>
      <c r="I29" s="255">
        <f>H29*G29</f>
        <v>521.76</v>
      </c>
      <c r="J29" s="219">
        <f t="shared" ref="J29:J31" si="17">I29-K29</f>
        <v>0</v>
      </c>
      <c r="K29" s="220">
        <f t="shared" ref="K29:K31" si="18">IF($E$7=0,0,I29/$E$7*$E$8)</f>
        <v>521.76</v>
      </c>
      <c r="L29" s="256"/>
      <c r="M29" s="131"/>
      <c r="N29" s="131"/>
      <c r="O29" s="131"/>
      <c r="P29" s="227">
        <f>SUM(L29:O29)</f>
        <v>0</v>
      </c>
      <c r="Q29" s="223">
        <f>IF($I29=0,0,$G29*$J29/$I29)</f>
        <v>0</v>
      </c>
      <c r="R29" s="223">
        <f t="shared" si="16"/>
        <v>0</v>
      </c>
      <c r="S29" s="223">
        <f t="shared" si="16"/>
        <v>0</v>
      </c>
      <c r="T29" s="223">
        <f t="shared" si="16"/>
        <v>0</v>
      </c>
      <c r="U29" s="223">
        <f>IF($I29=0,0,IF($P29=0,0,$G29*$J29/$I29*O29/$P29))</f>
        <v>0</v>
      </c>
      <c r="V29" s="224">
        <f t="shared" si="11"/>
        <v>12</v>
      </c>
      <c r="W29" s="257"/>
    </row>
    <row r="30" spans="2:23" s="173" customFormat="1" ht="16.95" customHeight="1" outlineLevel="1" x14ac:dyDescent="0.25">
      <c r="B30" s="216" t="s">
        <v>32</v>
      </c>
      <c r="C30" s="534" t="s">
        <v>33</v>
      </c>
      <c r="D30" s="535"/>
      <c r="E30" s="535"/>
      <c r="F30" s="536"/>
      <c r="G30" s="131">
        <f>'Budget détaillé'!G31</f>
        <v>28</v>
      </c>
      <c r="H30" s="218">
        <f>$H$20</f>
        <v>47.015990099009898</v>
      </c>
      <c r="I30" s="255">
        <f>H30*G30</f>
        <v>1316.4477227722771</v>
      </c>
      <c r="J30" s="219">
        <f t="shared" si="17"/>
        <v>0</v>
      </c>
      <c r="K30" s="220">
        <f>I30</f>
        <v>1316.4477227722771</v>
      </c>
      <c r="L30" s="256"/>
      <c r="M30" s="221"/>
      <c r="N30" s="131"/>
      <c r="O30" s="131"/>
      <c r="P30" s="227">
        <f>SUM(L30:O30)</f>
        <v>0</v>
      </c>
      <c r="Q30" s="223">
        <f t="shared" ref="Q30:Q31" si="19">IF($I30=0,0,$G30*$J30/$I30)</f>
        <v>0</v>
      </c>
      <c r="R30" s="223">
        <f t="shared" si="16"/>
        <v>0</v>
      </c>
      <c r="S30" s="223">
        <f t="shared" si="16"/>
        <v>0</v>
      </c>
      <c r="T30" s="223">
        <f t="shared" si="16"/>
        <v>0</v>
      </c>
      <c r="U30" s="223">
        <f t="shared" si="16"/>
        <v>0</v>
      </c>
      <c r="V30" s="224">
        <f t="shared" si="11"/>
        <v>28</v>
      </c>
      <c r="W30" s="257"/>
    </row>
    <row r="31" spans="2:23" s="173" customFormat="1" ht="16.95" customHeight="1" outlineLevel="1" x14ac:dyDescent="0.25">
      <c r="B31" s="216" t="s">
        <v>35</v>
      </c>
      <c r="C31" s="258" t="s">
        <v>36</v>
      </c>
      <c r="D31" s="238"/>
      <c r="E31" s="238"/>
      <c r="F31" s="239"/>
      <c r="G31" s="131">
        <f>'Budget détaillé'!G32</f>
        <v>0</v>
      </c>
      <c r="H31" s="218">
        <f>$H$20</f>
        <v>47.015990099009898</v>
      </c>
      <c r="I31" s="260">
        <f>H31*G31</f>
        <v>0</v>
      </c>
      <c r="J31" s="219">
        <f t="shared" si="17"/>
        <v>0</v>
      </c>
      <c r="K31" s="220">
        <f t="shared" si="18"/>
        <v>0</v>
      </c>
      <c r="L31" s="261"/>
      <c r="M31" s="131"/>
      <c r="N31" s="131"/>
      <c r="O31" s="131"/>
      <c r="P31" s="227">
        <f>SUM(L31:O31)</f>
        <v>0</v>
      </c>
      <c r="Q31" s="223">
        <f t="shared" si="19"/>
        <v>0</v>
      </c>
      <c r="R31" s="223">
        <f t="shared" si="16"/>
        <v>0</v>
      </c>
      <c r="S31" s="223">
        <f t="shared" si="16"/>
        <v>0</v>
      </c>
      <c r="T31" s="223">
        <f t="shared" si="16"/>
        <v>0</v>
      </c>
      <c r="U31" s="223">
        <f t="shared" si="16"/>
        <v>0</v>
      </c>
      <c r="V31" s="224">
        <f>G31-Q31</f>
        <v>0</v>
      </c>
      <c r="W31" s="257"/>
    </row>
    <row r="32" spans="2:23" s="173" customFormat="1" ht="21" customHeight="1" outlineLevel="1" thickBot="1" x14ac:dyDescent="0.3">
      <c r="B32" s="543" t="s">
        <v>263</v>
      </c>
      <c r="C32" s="544"/>
      <c r="D32" s="544"/>
      <c r="E32" s="544"/>
      <c r="F32" s="545"/>
      <c r="G32" s="262">
        <f>SUM(G29:G31)</f>
        <v>40</v>
      </c>
      <c r="H32" s="263">
        <f>IF(G32=0,0,I32/G32)</f>
        <v>45.955193069306929</v>
      </c>
      <c r="I32" s="263">
        <f>SUM(I29:I31)</f>
        <v>1838.2077227722771</v>
      </c>
      <c r="J32" s="263">
        <f>SUM(J29:J31)</f>
        <v>0</v>
      </c>
      <c r="K32" s="264">
        <f>SUM(K29:K31)</f>
        <v>1838.2077227722771</v>
      </c>
      <c r="L32" s="235">
        <f t="shared" ref="L32:M32" si="20">SUM(L29:L31)</f>
        <v>0</v>
      </c>
      <c r="M32" s="232">
        <f t="shared" si="20"/>
        <v>0</v>
      </c>
      <c r="N32" s="232">
        <f>SUM(N29:N31)</f>
        <v>0</v>
      </c>
      <c r="O32" s="232">
        <f>SUM(O29:O31)</f>
        <v>0</v>
      </c>
      <c r="P32" s="234">
        <f t="shared" ref="P32" si="21">SUM(P28:P31)</f>
        <v>0</v>
      </c>
      <c r="Q32" s="204">
        <f>IF($K$72=0,0,K32/$K$72)</f>
        <v>3.0894247441550875E-2</v>
      </c>
      <c r="R32" s="205" t="s">
        <v>246</v>
      </c>
      <c r="S32" s="125"/>
      <c r="T32" s="172"/>
      <c r="U32" s="122"/>
    </row>
    <row r="33" spans="2:22" s="173" customFormat="1" ht="21" customHeight="1" outlineLevel="1" x14ac:dyDescent="0.25">
      <c r="B33" s="265"/>
      <c r="C33" s="266"/>
      <c r="D33" s="267"/>
      <c r="E33" s="268"/>
      <c r="F33" s="268"/>
      <c r="G33" s="268"/>
      <c r="H33" s="269" t="s">
        <v>264</v>
      </c>
      <c r="I33" s="270">
        <f>K33+J33</f>
        <v>270</v>
      </c>
      <c r="J33" s="270">
        <f>SUM(Q16:Q19)+SUM(Q22:Q26)+SUM(Q29:Q31)</f>
        <v>0</v>
      </c>
      <c r="K33" s="271">
        <f>SUM(V16:V19)+SUM(V22:V26)+SUM(V29:V31)</f>
        <v>270</v>
      </c>
      <c r="L33" s="272"/>
      <c r="M33" s="272"/>
      <c r="N33" s="272"/>
      <c r="O33" s="272"/>
      <c r="P33" s="272"/>
      <c r="Q33" s="273"/>
      <c r="R33" s="273"/>
      <c r="S33" s="274"/>
      <c r="T33" s="275"/>
      <c r="U33" s="172"/>
      <c r="V33" s="276"/>
    </row>
    <row r="34" spans="2:22" s="173" customFormat="1" ht="21" customHeight="1" outlineLevel="1" thickBot="1" x14ac:dyDescent="0.3">
      <c r="B34" s="277"/>
      <c r="C34" s="278"/>
      <c r="D34" s="279"/>
      <c r="E34" s="280"/>
      <c r="F34" s="280"/>
      <c r="G34" s="280"/>
      <c r="H34" s="281" t="s">
        <v>265</v>
      </c>
      <c r="I34" s="282">
        <f>IF($E$7=0,0,(I32+I20+I27)/$E$7)</f>
        <v>809.67412305516257</v>
      </c>
      <c r="J34" s="283">
        <f>IF($E$7-$E$8=0,0,(J32+J20+J27)/($E$7-$E$8))</f>
        <v>0</v>
      </c>
      <c r="K34" s="284">
        <f>IF($E$8=0,0,(K32+K20+K27)/$E$8)</f>
        <v>809.67412305516257</v>
      </c>
      <c r="L34" s="272"/>
      <c r="M34" s="272"/>
      <c r="N34" s="272"/>
      <c r="O34" s="272"/>
      <c r="P34" s="272"/>
      <c r="Q34" s="273"/>
      <c r="R34" s="273"/>
      <c r="S34" s="274"/>
      <c r="T34" s="275"/>
      <c r="U34" s="172"/>
      <c r="V34" s="276"/>
    </row>
    <row r="35" spans="2:22" s="125" customFormat="1" ht="22.2" customHeight="1" thickBot="1" x14ac:dyDescent="0.3">
      <c r="B35" s="285" t="s">
        <v>266</v>
      </c>
      <c r="C35" s="286"/>
      <c r="D35" s="287"/>
      <c r="E35" s="287"/>
      <c r="F35" s="287"/>
      <c r="G35" s="287"/>
      <c r="H35" s="288"/>
      <c r="I35" s="289">
        <f t="shared" ref="I35:P35" si="22">SUM(I36:I44)</f>
        <v>0</v>
      </c>
      <c r="J35" s="290">
        <f t="shared" si="22"/>
        <v>0</v>
      </c>
      <c r="K35" s="291">
        <f t="shared" si="22"/>
        <v>0</v>
      </c>
      <c r="L35" s="203">
        <f t="shared" si="22"/>
        <v>0</v>
      </c>
      <c r="M35" s="199">
        <f t="shared" si="22"/>
        <v>0</v>
      </c>
      <c r="N35" s="200">
        <f t="shared" si="22"/>
        <v>0</v>
      </c>
      <c r="O35" s="199">
        <f t="shared" si="22"/>
        <v>0</v>
      </c>
      <c r="P35" s="292">
        <f t="shared" si="22"/>
        <v>0</v>
      </c>
      <c r="Q35" s="204">
        <f>IF($K$72=0,0,K35/$K$72)</f>
        <v>0</v>
      </c>
      <c r="R35" s="205" t="s">
        <v>246</v>
      </c>
      <c r="U35" s="173"/>
      <c r="V35" s="173"/>
    </row>
    <row r="36" spans="2:22" s="173" customFormat="1" ht="16.95" customHeight="1" outlineLevel="1" x14ac:dyDescent="0.25">
      <c r="B36" s="293" t="s">
        <v>267</v>
      </c>
      <c r="C36" s="294" t="s">
        <v>268</v>
      </c>
      <c r="D36" s="295"/>
      <c r="E36" s="295"/>
      <c r="F36" s="295"/>
      <c r="G36" s="295"/>
      <c r="H36" s="295"/>
      <c r="I36" s="296">
        <f>'Budget détaillé'!I37</f>
        <v>0</v>
      </c>
      <c r="J36" s="297">
        <f>'Budget détaillé'!J37</f>
        <v>0</v>
      </c>
      <c r="K36" s="298">
        <f>'Budget détaillé'!K37</f>
        <v>0</v>
      </c>
      <c r="L36" s="299"/>
      <c r="M36" s="300"/>
      <c r="N36" s="301"/>
      <c r="O36" s="300"/>
      <c r="P36" s="302">
        <f>SUM(L36:O36)</f>
        <v>0</v>
      </c>
      <c r="Q36" s="303"/>
      <c r="R36" s="304"/>
      <c r="S36" s="125"/>
    </row>
    <row r="37" spans="2:22" s="173" customFormat="1" ht="16.95" customHeight="1" outlineLevel="1" x14ac:dyDescent="0.25">
      <c r="B37" s="150" t="s">
        <v>269</v>
      </c>
      <c r="C37" s="305" t="s">
        <v>270</v>
      </c>
      <c r="D37" s="306"/>
      <c r="E37" s="306"/>
      <c r="F37" s="306"/>
      <c r="G37" s="306"/>
      <c r="H37" s="306"/>
      <c r="I37" s="307">
        <f>'Budget détaillé'!I38</f>
        <v>0</v>
      </c>
      <c r="J37" s="218">
        <f>'Budget détaillé'!J38</f>
        <v>0</v>
      </c>
      <c r="K37" s="308">
        <f>'Budget détaillé'!K38</f>
        <v>0</v>
      </c>
      <c r="L37" s="256"/>
      <c r="M37" s="221"/>
      <c r="N37" s="309"/>
      <c r="O37" s="221"/>
      <c r="P37" s="227">
        <f>SUM(L37:O37)</f>
        <v>0</v>
      </c>
      <c r="Q37" s="303"/>
      <c r="R37" s="304"/>
      <c r="S37" s="125"/>
    </row>
    <row r="38" spans="2:22" s="173" customFormat="1" ht="16.95" customHeight="1" outlineLevel="1" x14ac:dyDescent="0.25">
      <c r="B38" s="150" t="s">
        <v>271</v>
      </c>
      <c r="C38" s="305" t="s">
        <v>272</v>
      </c>
      <c r="D38" s="306"/>
      <c r="E38" s="306"/>
      <c r="F38" s="306"/>
      <c r="G38" s="306"/>
      <c r="H38" s="306"/>
      <c r="I38" s="307">
        <f>'Budget détaillé'!I39</f>
        <v>0</v>
      </c>
      <c r="J38" s="218">
        <f>'Budget détaillé'!J39</f>
        <v>0</v>
      </c>
      <c r="K38" s="308">
        <f>'Budget détaillé'!K39</f>
        <v>0</v>
      </c>
      <c r="L38" s="256"/>
      <c r="M38" s="221"/>
      <c r="N38" s="309"/>
      <c r="O38" s="221"/>
      <c r="P38" s="227">
        <f t="shared" ref="P38:P44" si="23">SUM(L38:O38)</f>
        <v>0</v>
      </c>
      <c r="Q38" s="303"/>
      <c r="R38" s="304"/>
      <c r="S38" s="125"/>
    </row>
    <row r="39" spans="2:22" s="173" customFormat="1" ht="16.95" customHeight="1" outlineLevel="1" x14ac:dyDescent="0.25">
      <c r="B39" s="150" t="s">
        <v>273</v>
      </c>
      <c r="C39" s="305" t="s">
        <v>274</v>
      </c>
      <c r="D39" s="306"/>
      <c r="E39" s="306"/>
      <c r="F39" s="306"/>
      <c r="G39" s="306"/>
      <c r="H39" s="306"/>
      <c r="I39" s="307">
        <f>'Budget détaillé'!I40</f>
        <v>0</v>
      </c>
      <c r="J39" s="218">
        <f>'Budget détaillé'!J40</f>
        <v>0</v>
      </c>
      <c r="K39" s="308">
        <f>'Budget détaillé'!K40</f>
        <v>0</v>
      </c>
      <c r="L39" s="256"/>
      <c r="M39" s="221"/>
      <c r="N39" s="309"/>
      <c r="O39" s="221"/>
      <c r="P39" s="227">
        <f t="shared" si="23"/>
        <v>0</v>
      </c>
      <c r="Q39" s="303"/>
      <c r="R39" s="304"/>
      <c r="S39" s="125"/>
    </row>
    <row r="40" spans="2:22" s="173" customFormat="1" ht="16.95" customHeight="1" outlineLevel="1" x14ac:dyDescent="0.25">
      <c r="B40" s="150" t="s">
        <v>275</v>
      </c>
      <c r="C40" s="305" t="s">
        <v>276</v>
      </c>
      <c r="D40" s="306"/>
      <c r="E40" s="306"/>
      <c r="F40" s="306"/>
      <c r="G40" s="306"/>
      <c r="H40" s="306"/>
      <c r="I40" s="307">
        <f>'Budget détaillé'!I41</f>
        <v>0</v>
      </c>
      <c r="J40" s="218">
        <f>'Budget détaillé'!J41</f>
        <v>0</v>
      </c>
      <c r="K40" s="308">
        <f>'Budget détaillé'!K41</f>
        <v>0</v>
      </c>
      <c r="L40" s="256"/>
      <c r="M40" s="221"/>
      <c r="N40" s="309"/>
      <c r="O40" s="221"/>
      <c r="P40" s="227">
        <f>SUM(L40:O40)</f>
        <v>0</v>
      </c>
      <c r="Q40" s="303"/>
      <c r="R40" s="304"/>
      <c r="S40" s="125"/>
    </row>
    <row r="41" spans="2:22" s="173" customFormat="1" ht="16.95" customHeight="1" outlineLevel="1" x14ac:dyDescent="0.25">
      <c r="B41" s="150" t="s">
        <v>277</v>
      </c>
      <c r="C41" s="305" t="s">
        <v>278</v>
      </c>
      <c r="D41" s="306"/>
      <c r="E41" s="306"/>
      <c r="F41" s="306"/>
      <c r="G41" s="306"/>
      <c r="H41" s="306"/>
      <c r="I41" s="307">
        <f>'Budget détaillé'!I42</f>
        <v>0</v>
      </c>
      <c r="J41" s="218">
        <f>'Budget détaillé'!J42</f>
        <v>0</v>
      </c>
      <c r="K41" s="308">
        <f>'Budget détaillé'!K42</f>
        <v>0</v>
      </c>
      <c r="L41" s="256"/>
      <c r="M41" s="221"/>
      <c r="N41" s="309"/>
      <c r="O41" s="221"/>
      <c r="P41" s="227">
        <f>SUM(L41:O41)</f>
        <v>0</v>
      </c>
      <c r="Q41" s="303"/>
      <c r="R41" s="304"/>
      <c r="S41" s="125"/>
    </row>
    <row r="42" spans="2:22" s="173" customFormat="1" ht="16.95" customHeight="1" outlineLevel="1" x14ac:dyDescent="0.25">
      <c r="B42" s="150" t="s">
        <v>279</v>
      </c>
      <c r="C42" s="305" t="s">
        <v>280</v>
      </c>
      <c r="D42" s="306"/>
      <c r="E42" s="306"/>
      <c r="F42" s="306"/>
      <c r="G42" s="306"/>
      <c r="H42" s="306"/>
      <c r="I42" s="307">
        <f>'Budget détaillé'!I43</f>
        <v>0</v>
      </c>
      <c r="J42" s="218">
        <f>'Budget détaillé'!J43</f>
        <v>0</v>
      </c>
      <c r="K42" s="308">
        <f>'Budget détaillé'!K43</f>
        <v>0</v>
      </c>
      <c r="L42" s="256"/>
      <c r="M42" s="221"/>
      <c r="N42" s="309"/>
      <c r="O42" s="221"/>
      <c r="P42" s="227">
        <f t="shared" si="23"/>
        <v>0</v>
      </c>
      <c r="Q42" s="303"/>
      <c r="R42" s="304"/>
      <c r="S42" s="125"/>
    </row>
    <row r="43" spans="2:22" s="173" customFormat="1" ht="16.95" customHeight="1" outlineLevel="1" x14ac:dyDescent="0.25">
      <c r="B43" s="150" t="s">
        <v>281</v>
      </c>
      <c r="C43" s="305" t="s">
        <v>282</v>
      </c>
      <c r="D43" s="306"/>
      <c r="E43" s="306"/>
      <c r="F43" s="306"/>
      <c r="G43" s="306"/>
      <c r="H43" s="306"/>
      <c r="I43" s="307">
        <f>'Budget détaillé'!I44</f>
        <v>0</v>
      </c>
      <c r="J43" s="218">
        <f>'Budget détaillé'!J44</f>
        <v>0</v>
      </c>
      <c r="K43" s="308">
        <f>'Budget détaillé'!K44</f>
        <v>0</v>
      </c>
      <c r="L43" s="256"/>
      <c r="M43" s="221"/>
      <c r="N43" s="309"/>
      <c r="O43" s="221"/>
      <c r="P43" s="227">
        <f t="shared" si="23"/>
        <v>0</v>
      </c>
      <c r="Q43" s="303"/>
      <c r="R43" s="304"/>
      <c r="S43" s="125"/>
    </row>
    <row r="44" spans="2:22" s="173" customFormat="1" ht="16.95" customHeight="1" outlineLevel="1" thickBot="1" x14ac:dyDescent="0.3">
      <c r="B44" s="310" t="s">
        <v>283</v>
      </c>
      <c r="C44" s="311" t="s">
        <v>284</v>
      </c>
      <c r="D44" s="312"/>
      <c r="E44" s="312"/>
      <c r="F44" s="312"/>
      <c r="G44" s="312"/>
      <c r="H44" s="313"/>
      <c r="I44" s="314">
        <f>'Budget détaillé'!I45</f>
        <v>0</v>
      </c>
      <c r="J44" s="315">
        <f>'Budget détaillé'!J45</f>
        <v>0</v>
      </c>
      <c r="K44" s="316">
        <f>'Budget détaillé'!K45</f>
        <v>0</v>
      </c>
      <c r="L44" s="317"/>
      <c r="M44" s="318"/>
      <c r="N44" s="319"/>
      <c r="O44" s="318"/>
      <c r="P44" s="320">
        <f t="shared" si="23"/>
        <v>0</v>
      </c>
      <c r="Q44" s="303"/>
      <c r="R44" s="304"/>
      <c r="S44" s="125"/>
    </row>
    <row r="45" spans="2:22" s="173" customFormat="1" ht="24.6" customHeight="1" outlineLevel="1" thickBot="1" x14ac:dyDescent="0.3">
      <c r="B45" s="321"/>
      <c r="C45" s="322"/>
      <c r="E45" s="323"/>
      <c r="F45" s="323"/>
      <c r="G45" s="323"/>
      <c r="H45" s="126" t="s">
        <v>285</v>
      </c>
      <c r="I45" s="324">
        <f>IF(E7=0,0,I35/$E$7)</f>
        <v>0</v>
      </c>
      <c r="J45" s="324">
        <f>IF(E7-E8=0,0,J35/($E$7-$E$8))</f>
        <v>0</v>
      </c>
      <c r="K45" s="284">
        <f>IF($E$8=0,0,K35/$E$8)</f>
        <v>0</v>
      </c>
      <c r="L45" s="272"/>
      <c r="M45" s="272"/>
      <c r="N45" s="272"/>
      <c r="O45" s="272"/>
      <c r="P45" s="272"/>
      <c r="Q45" s="303"/>
      <c r="R45" s="304"/>
      <c r="S45" s="125"/>
      <c r="U45" s="125"/>
      <c r="V45" s="125"/>
    </row>
    <row r="46" spans="2:22" s="125" customFormat="1" ht="21.6" customHeight="1" thickBot="1" x14ac:dyDescent="0.3">
      <c r="B46" s="195" t="s">
        <v>286</v>
      </c>
      <c r="C46" s="196"/>
      <c r="D46" s="197"/>
      <c r="E46" s="197"/>
      <c r="F46" s="197"/>
      <c r="G46" s="197"/>
      <c r="H46" s="325"/>
      <c r="I46" s="326">
        <f t="shared" ref="I46:P46" si="24">I35+I32+I20+I27</f>
        <v>11335.437722772276</v>
      </c>
      <c r="J46" s="326">
        <f t="shared" si="24"/>
        <v>0</v>
      </c>
      <c r="K46" s="327">
        <f t="shared" si="24"/>
        <v>11335.437722772276</v>
      </c>
      <c r="L46" s="326">
        <f t="shared" si="24"/>
        <v>0</v>
      </c>
      <c r="M46" s="326">
        <f t="shared" si="24"/>
        <v>0</v>
      </c>
      <c r="N46" s="326">
        <f t="shared" si="24"/>
        <v>0</v>
      </c>
      <c r="O46" s="326">
        <f t="shared" si="24"/>
        <v>0</v>
      </c>
      <c r="P46" s="328">
        <f t="shared" si="24"/>
        <v>0</v>
      </c>
      <c r="Q46" s="329">
        <f>IF($K$72=0,0,K46/$K$72)</f>
        <v>0.1905115583659206</v>
      </c>
      <c r="R46" s="205" t="s">
        <v>246</v>
      </c>
      <c r="S46" s="330"/>
      <c r="U46" s="122"/>
      <c r="V46" s="173"/>
    </row>
    <row r="47" spans="2:22" s="173" customFormat="1" ht="21" customHeight="1" thickBot="1" x14ac:dyDescent="0.3">
      <c r="B47" s="331"/>
      <c r="C47" s="332"/>
      <c r="D47" s="332"/>
      <c r="E47" s="333"/>
      <c r="F47" s="333"/>
      <c r="G47" s="333"/>
      <c r="H47" s="334" t="s">
        <v>287</v>
      </c>
      <c r="I47" s="282">
        <f>IF(E7=0,0,I46/E7)</f>
        <v>809.67412305516257</v>
      </c>
      <c r="J47" s="324">
        <f>IF((E7-E8)=0,0,J46/(E7-E8))</f>
        <v>0</v>
      </c>
      <c r="K47" s="335">
        <f>IF(E8=0,0,K46/E8)</f>
        <v>809.67412305516257</v>
      </c>
      <c r="L47" s="272"/>
      <c r="M47" s="272"/>
      <c r="N47" s="272"/>
      <c r="O47" s="272"/>
      <c r="P47" s="272"/>
      <c r="Q47" s="336"/>
      <c r="R47" s="304"/>
      <c r="S47" s="125"/>
      <c r="T47" s="172"/>
      <c r="U47" s="122"/>
    </row>
    <row r="48" spans="2:22" s="173" customFormat="1" ht="12" customHeight="1" thickBot="1" x14ac:dyDescent="0.3">
      <c r="B48" s="321"/>
      <c r="E48" s="323"/>
      <c r="F48" s="323"/>
      <c r="G48" s="323"/>
      <c r="H48" s="126"/>
      <c r="I48" s="282"/>
      <c r="J48" s="282"/>
      <c r="K48" s="337"/>
      <c r="L48" s="272"/>
      <c r="M48" s="272"/>
      <c r="N48" s="272"/>
      <c r="O48" s="272"/>
      <c r="P48" s="272"/>
      <c r="Q48" s="336"/>
      <c r="R48" s="304"/>
      <c r="S48" s="125"/>
      <c r="T48" s="172"/>
      <c r="U48" s="121"/>
      <c r="V48" s="121"/>
    </row>
    <row r="49" spans="1:22" s="121" customFormat="1" ht="55.8" thickBot="1" x14ac:dyDescent="0.3">
      <c r="B49" s="338" t="s">
        <v>288</v>
      </c>
      <c r="C49" s="339" t="s">
        <v>289</v>
      </c>
      <c r="D49" s="340"/>
      <c r="E49" s="340"/>
      <c r="F49" s="340"/>
      <c r="G49" s="340"/>
      <c r="H49" s="187" t="s">
        <v>290</v>
      </c>
      <c r="I49" s="186" t="s">
        <v>238</v>
      </c>
      <c r="J49" s="187" t="s">
        <v>239</v>
      </c>
      <c r="K49" s="188" t="s">
        <v>291</v>
      </c>
      <c r="L49" s="341" t="str">
        <f>L13</f>
        <v>Lyon 2</v>
      </c>
      <c r="M49" s="187" t="str">
        <f>M13</f>
        <v>Partenaire 1</v>
      </c>
      <c r="N49" s="187" t="str">
        <f>N13</f>
        <v>Partenaire 2</v>
      </c>
      <c r="O49" s="187" t="str">
        <f>O13</f>
        <v>Partenaire 3</v>
      </c>
      <c r="P49" s="192" t="s">
        <v>145</v>
      </c>
      <c r="Q49" s="342"/>
      <c r="R49" s="194"/>
      <c r="U49" s="125"/>
      <c r="V49" s="125"/>
    </row>
    <row r="50" spans="1:22" s="125" customFormat="1" ht="19.95" customHeight="1" thickBot="1" x14ac:dyDescent="0.3">
      <c r="B50" s="195" t="s">
        <v>292</v>
      </c>
      <c r="C50" s="196"/>
      <c r="D50" s="197"/>
      <c r="E50" s="197"/>
      <c r="F50" s="197"/>
      <c r="G50" s="197"/>
      <c r="H50" s="325"/>
      <c r="I50" s="200">
        <f>SUM(I51:I54)</f>
        <v>12040</v>
      </c>
      <c r="J50" s="201">
        <f>SUM(J51:J54)</f>
        <v>0</v>
      </c>
      <c r="K50" s="202">
        <f>SUM(K51:K54)</f>
        <v>12040</v>
      </c>
      <c r="L50" s="200">
        <f t="shared" ref="L50:P50" si="25">SUM(L51:L54)</f>
        <v>0</v>
      </c>
      <c r="M50" s="199">
        <f t="shared" si="25"/>
        <v>0</v>
      </c>
      <c r="N50" s="199">
        <f t="shared" si="25"/>
        <v>0</v>
      </c>
      <c r="O50" s="200">
        <f t="shared" si="25"/>
        <v>0</v>
      </c>
      <c r="P50" s="202">
        <f t="shared" si="25"/>
        <v>0</v>
      </c>
      <c r="Q50" s="236"/>
      <c r="R50" s="343"/>
    </row>
    <row r="51" spans="1:22" s="125" customFormat="1" ht="16.95" customHeight="1" outlineLevel="2" x14ac:dyDescent="0.25">
      <c r="B51" s="344" t="s">
        <v>293</v>
      </c>
      <c r="C51" s="345" t="s">
        <v>294</v>
      </c>
      <c r="D51" s="346"/>
      <c r="E51" s="346"/>
      <c r="F51" s="346"/>
      <c r="G51" s="347"/>
      <c r="H51" s="218">
        <f>'Budget détaillé'!H52</f>
        <v>119</v>
      </c>
      <c r="I51" s="218">
        <f>'Budget détaillé'!I52</f>
        <v>1666</v>
      </c>
      <c r="J51" s="219">
        <f>'Budget détaillé'!J52</f>
        <v>0</v>
      </c>
      <c r="K51" s="220">
        <f>'Budget détaillé'!K52</f>
        <v>1666</v>
      </c>
      <c r="L51" s="348"/>
      <c r="M51" s="349"/>
      <c r="N51" s="349"/>
      <c r="O51" s="350"/>
      <c r="P51" s="222">
        <f>SUM(L51:O51)</f>
        <v>0</v>
      </c>
      <c r="Q51" s="236"/>
      <c r="R51" s="304"/>
      <c r="U51" s="173"/>
      <c r="V51" s="173"/>
    </row>
    <row r="52" spans="1:22" s="173" customFormat="1" ht="18.75" customHeight="1" outlineLevel="2" x14ac:dyDescent="0.25">
      <c r="B52" s="344" t="s">
        <v>295</v>
      </c>
      <c r="C52" s="351" t="s">
        <v>296</v>
      </c>
      <c r="D52" s="352"/>
      <c r="E52" s="352"/>
      <c r="F52" s="352"/>
      <c r="G52" s="353"/>
      <c r="H52" s="218">
        <f>'Budget détaillé'!H53</f>
        <v>578</v>
      </c>
      <c r="I52" s="218">
        <f>'Budget détaillé'!I53</f>
        <v>8092</v>
      </c>
      <c r="J52" s="219">
        <f>'Budget détaillé'!J53</f>
        <v>0</v>
      </c>
      <c r="K52" s="220">
        <f>'Budget détaillé'!K53</f>
        <v>8092</v>
      </c>
      <c r="L52" s="348"/>
      <c r="M52" s="349"/>
      <c r="N52" s="349"/>
      <c r="O52" s="131"/>
      <c r="P52" s="227">
        <f>SUM(L52:O52)</f>
        <v>0</v>
      </c>
      <c r="Q52" s="177"/>
      <c r="R52" s="304"/>
      <c r="S52" s="125"/>
    </row>
    <row r="53" spans="1:22" s="173" customFormat="1" ht="18.75" customHeight="1" outlineLevel="2" x14ac:dyDescent="0.25">
      <c r="B53" s="344" t="s">
        <v>297</v>
      </c>
      <c r="C53" s="168" t="s">
        <v>298</v>
      </c>
      <c r="D53" s="354"/>
      <c r="E53" s="354"/>
      <c r="F53" s="354"/>
      <c r="G53" s="354"/>
      <c r="H53" s="218">
        <f>'Budget détaillé'!H54</f>
        <v>98</v>
      </c>
      <c r="I53" s="218">
        <f>'Budget détaillé'!I54</f>
        <v>1372</v>
      </c>
      <c r="J53" s="219">
        <f>'Budget détaillé'!J54</f>
        <v>0</v>
      </c>
      <c r="K53" s="220">
        <f>'Budget détaillé'!K54</f>
        <v>1372</v>
      </c>
      <c r="L53" s="348"/>
      <c r="M53" s="349"/>
      <c r="N53" s="349"/>
      <c r="O53" s="131"/>
      <c r="P53" s="227">
        <f>SUM(L53:O53)</f>
        <v>0</v>
      </c>
      <c r="Q53" s="177"/>
      <c r="R53" s="304"/>
      <c r="S53" s="125"/>
    </row>
    <row r="54" spans="1:22" s="173" customFormat="1" ht="18.75" customHeight="1" outlineLevel="2" thickBot="1" x14ac:dyDescent="0.3">
      <c r="B54" s="344" t="s">
        <v>299</v>
      </c>
      <c r="C54" s="168" t="s">
        <v>300</v>
      </c>
      <c r="D54" s="354"/>
      <c r="E54" s="354"/>
      <c r="F54" s="354"/>
      <c r="G54" s="354"/>
      <c r="H54" s="218">
        <f>'Budget détaillé'!H55</f>
        <v>65</v>
      </c>
      <c r="I54" s="218">
        <f>'Budget détaillé'!I55</f>
        <v>910</v>
      </c>
      <c r="J54" s="219">
        <f>'Budget détaillé'!J55</f>
        <v>0</v>
      </c>
      <c r="K54" s="220">
        <f>'Budget détaillé'!K55</f>
        <v>910</v>
      </c>
      <c r="L54" s="348"/>
      <c r="M54" s="349"/>
      <c r="N54" s="349"/>
      <c r="O54" s="131"/>
      <c r="P54" s="227">
        <f>SUM(L54:O54)</f>
        <v>0</v>
      </c>
      <c r="Q54" s="177"/>
      <c r="R54" s="304"/>
      <c r="S54" s="125"/>
      <c r="U54" s="125"/>
      <c r="V54" s="125"/>
    </row>
    <row r="55" spans="1:22" s="125" customFormat="1" ht="19.2" customHeight="1" thickBot="1" x14ac:dyDescent="0.3">
      <c r="B55" s="195" t="s">
        <v>301</v>
      </c>
      <c r="C55" s="196"/>
      <c r="D55" s="197"/>
      <c r="E55" s="197"/>
      <c r="F55" s="197"/>
      <c r="G55" s="197"/>
      <c r="H55" s="325"/>
      <c r="I55" s="200">
        <f>SUM(I56:I58)</f>
        <v>10696</v>
      </c>
      <c r="J55" s="201">
        <f>SUM(J56:J58)</f>
        <v>0</v>
      </c>
      <c r="K55" s="202">
        <f>SUM(K56:K58)</f>
        <v>10696</v>
      </c>
      <c r="L55" s="200">
        <f t="shared" ref="L55:P55" si="26">SUM(L56:L58)</f>
        <v>0</v>
      </c>
      <c r="M55" s="199">
        <f t="shared" si="26"/>
        <v>0</v>
      </c>
      <c r="N55" s="199">
        <f t="shared" si="26"/>
        <v>0</v>
      </c>
      <c r="O55" s="200">
        <f t="shared" si="26"/>
        <v>0</v>
      </c>
      <c r="P55" s="202">
        <f t="shared" si="26"/>
        <v>0</v>
      </c>
      <c r="Q55" s="355"/>
      <c r="R55" s="304"/>
    </row>
    <row r="56" spans="1:22" s="125" customFormat="1" ht="16.95" customHeight="1" outlineLevel="1" x14ac:dyDescent="0.25">
      <c r="B56" s="150" t="s">
        <v>302</v>
      </c>
      <c r="C56" s="305" t="s">
        <v>303</v>
      </c>
      <c r="D56" s="306"/>
      <c r="E56" s="306"/>
      <c r="F56" s="306"/>
      <c r="G56" s="306"/>
      <c r="H56" s="218">
        <f>'Budget détaillé'!H57</f>
        <v>221</v>
      </c>
      <c r="I56" s="218">
        <f>'Budget détaillé'!I57</f>
        <v>3094</v>
      </c>
      <c r="J56" s="219">
        <f>'Budget détaillé'!J57</f>
        <v>0</v>
      </c>
      <c r="K56" s="220">
        <f>'Budget détaillé'!K57</f>
        <v>3094</v>
      </c>
      <c r="L56" s="348"/>
      <c r="M56" s="349"/>
      <c r="N56" s="349"/>
      <c r="O56" s="131"/>
      <c r="P56" s="227">
        <f>SUM(L56:O56)</f>
        <v>0</v>
      </c>
      <c r="Q56" s="177"/>
      <c r="R56" s="356"/>
    </row>
    <row r="57" spans="1:22" s="125" customFormat="1" ht="16.95" customHeight="1" outlineLevel="1" x14ac:dyDescent="0.25">
      <c r="B57" s="150" t="s">
        <v>304</v>
      </c>
      <c r="C57" s="305" t="s">
        <v>305</v>
      </c>
      <c r="D57" s="306"/>
      <c r="E57" s="306"/>
      <c r="F57" s="306"/>
      <c r="G57" s="306"/>
      <c r="H57" s="218">
        <f>'Budget détaillé'!H58</f>
        <v>415</v>
      </c>
      <c r="I57" s="218">
        <f>'Budget détaillé'!I58</f>
        <v>5810</v>
      </c>
      <c r="J57" s="219">
        <f>'Budget détaillé'!J58</f>
        <v>0</v>
      </c>
      <c r="K57" s="220">
        <f>'Budget détaillé'!K58</f>
        <v>5810</v>
      </c>
      <c r="L57" s="348"/>
      <c r="M57" s="349"/>
      <c r="N57" s="349"/>
      <c r="O57" s="131"/>
      <c r="P57" s="227">
        <f>SUM(L57:O57)</f>
        <v>0</v>
      </c>
      <c r="Q57" s="177"/>
      <c r="R57" s="304"/>
    </row>
    <row r="58" spans="1:22" s="125" customFormat="1" ht="16.95" customHeight="1" outlineLevel="1" thickBot="1" x14ac:dyDescent="0.3">
      <c r="B58" s="150" t="s">
        <v>306</v>
      </c>
      <c r="C58" s="305" t="s">
        <v>307</v>
      </c>
      <c r="D58" s="306"/>
      <c r="E58" s="306"/>
      <c r="F58" s="306"/>
      <c r="G58" s="306"/>
      <c r="H58" s="218">
        <f>'Budget détaillé'!H59</f>
        <v>128</v>
      </c>
      <c r="I58" s="218">
        <f>'Budget détaillé'!I59</f>
        <v>1792</v>
      </c>
      <c r="J58" s="219">
        <f>'Budget détaillé'!J59</f>
        <v>0</v>
      </c>
      <c r="K58" s="220">
        <f>'Budget détaillé'!K59</f>
        <v>1792</v>
      </c>
      <c r="L58" s="348"/>
      <c r="M58" s="349"/>
      <c r="N58" s="349"/>
      <c r="O58" s="131"/>
      <c r="P58" s="227">
        <f>SUM(L58:O58)</f>
        <v>0</v>
      </c>
      <c r="Q58" s="177"/>
      <c r="R58" s="304"/>
    </row>
    <row r="59" spans="1:22" s="125" customFormat="1" ht="21.6" customHeight="1" thickBot="1" x14ac:dyDescent="0.3">
      <c r="B59" s="195" t="s">
        <v>308</v>
      </c>
      <c r="C59" s="196"/>
      <c r="D59" s="197"/>
      <c r="E59" s="197"/>
      <c r="F59" s="197"/>
      <c r="G59" s="197"/>
      <c r="H59" s="325"/>
      <c r="I59" s="200">
        <f>I50+I55</f>
        <v>22736</v>
      </c>
      <c r="J59" s="201">
        <f>J50+J55</f>
        <v>0</v>
      </c>
      <c r="K59" s="202">
        <f>K50+K55</f>
        <v>22736</v>
      </c>
      <c r="L59" s="200">
        <f t="shared" ref="L59:P59" si="27">L50+L55</f>
        <v>0</v>
      </c>
      <c r="M59" s="199">
        <f t="shared" si="27"/>
        <v>0</v>
      </c>
      <c r="N59" s="199">
        <f t="shared" si="27"/>
        <v>0</v>
      </c>
      <c r="O59" s="200">
        <f t="shared" si="27"/>
        <v>0</v>
      </c>
      <c r="P59" s="202">
        <f t="shared" si="27"/>
        <v>0</v>
      </c>
      <c r="Q59" s="204">
        <f>IF($K$72=0,0,K59/$K$72)</f>
        <v>0.38211764705882351</v>
      </c>
      <c r="R59" s="357" t="s">
        <v>246</v>
      </c>
      <c r="S59" s="358">
        <f>IF((K59+K46)=0,0,K59/(K59+K46))</f>
        <v>0.66730380399544975</v>
      </c>
      <c r="T59" s="205" t="s">
        <v>309</v>
      </c>
      <c r="U59" s="122"/>
    </row>
    <row r="60" spans="1:22" ht="21" customHeight="1" thickBot="1" x14ac:dyDescent="0.3">
      <c r="A60" s="125"/>
      <c r="B60" s="331"/>
      <c r="C60" s="359"/>
      <c r="D60" s="359"/>
      <c r="E60" s="333"/>
      <c r="F60" s="333"/>
      <c r="G60" s="333"/>
      <c r="H60" s="126" t="s">
        <v>310</v>
      </c>
      <c r="I60" s="324">
        <f>IF(E7=0,0,I59/E7)</f>
        <v>1624</v>
      </c>
      <c r="J60" s="324">
        <f>IF((E7-E8)=0,0,J59/(E7-E8))</f>
        <v>0</v>
      </c>
      <c r="K60" s="335">
        <f>IF(E8=0,0,K59/E8)</f>
        <v>1624</v>
      </c>
      <c r="L60" s="272"/>
      <c r="M60" s="272"/>
      <c r="N60" s="272"/>
      <c r="O60" s="272"/>
      <c r="P60" s="272"/>
      <c r="Q60" s="125"/>
      <c r="R60" s="125"/>
      <c r="S60" s="125"/>
      <c r="T60" s="172"/>
      <c r="U60" s="125"/>
      <c r="V60" s="125"/>
    </row>
    <row r="61" spans="1:22" s="125" customFormat="1" ht="13.2" customHeight="1" thickBot="1" x14ac:dyDescent="0.3">
      <c r="B61" s="360"/>
      <c r="C61" s="361"/>
      <c r="D61" s="361"/>
      <c r="E61" s="361"/>
      <c r="F61" s="361"/>
      <c r="G61" s="361"/>
      <c r="H61" s="361"/>
      <c r="I61" s="362"/>
      <c r="J61" s="362"/>
      <c r="K61" s="363"/>
      <c r="L61" s="364"/>
      <c r="M61" s="364"/>
      <c r="N61" s="364"/>
      <c r="O61" s="364"/>
      <c r="P61" s="364"/>
      <c r="Q61" s="365"/>
      <c r="R61" s="121"/>
    </row>
    <row r="62" spans="1:22" s="125" customFormat="1" ht="24.6" customHeight="1" thickBot="1" x14ac:dyDescent="0.3">
      <c r="B62" s="366" t="s">
        <v>311</v>
      </c>
      <c r="C62" s="366"/>
      <c r="D62" s="367"/>
      <c r="E62" s="368"/>
      <c r="F62" s="367"/>
      <c r="G62" s="369"/>
      <c r="H62" s="370"/>
      <c r="I62" s="371">
        <f>I59+I46</f>
        <v>34071.437722772273</v>
      </c>
      <c r="J62" s="371">
        <f>J59+J46</f>
        <v>0</v>
      </c>
      <c r="K62" s="372">
        <f>K59+K46</f>
        <v>34071.437722772273</v>
      </c>
      <c r="L62" s="371">
        <f t="shared" ref="L62:O62" si="28">L59+L46</f>
        <v>0</v>
      </c>
      <c r="M62" s="371">
        <f t="shared" si="28"/>
        <v>0</v>
      </c>
      <c r="N62" s="371">
        <f t="shared" si="28"/>
        <v>0</v>
      </c>
      <c r="O62" s="371">
        <f t="shared" si="28"/>
        <v>0</v>
      </c>
      <c r="P62" s="372">
        <f>P59+P46</f>
        <v>0</v>
      </c>
      <c r="Q62" s="204">
        <f>IF($K$72=0,0,K62/$K$72)</f>
        <v>0.57262920542474405</v>
      </c>
      <c r="R62" s="205" t="s">
        <v>246</v>
      </c>
      <c r="U62" s="173"/>
      <c r="V62" s="173"/>
    </row>
    <row r="63" spans="1:22" s="173" customFormat="1" ht="18.75" customHeight="1" x14ac:dyDescent="0.25">
      <c r="B63" s="265"/>
      <c r="C63" s="346"/>
      <c r="D63" s="373"/>
      <c r="E63" s="373"/>
      <c r="F63" s="373"/>
      <c r="G63" s="374"/>
      <c r="H63" s="374" t="s">
        <v>312</v>
      </c>
      <c r="I63" s="375">
        <f>IF(E7=0,0,I62/$E$7)</f>
        <v>2433.6741230551625</v>
      </c>
      <c r="J63" s="376">
        <f>IF(($E$7-$E$8)=0,0,J62/($E$7-$E$8))</f>
        <v>0</v>
      </c>
      <c r="K63" s="377">
        <f>IF(E8=0,0,K62/$E$8)</f>
        <v>2433.6741230551625</v>
      </c>
      <c r="L63" s="378"/>
      <c r="M63" s="378"/>
      <c r="N63" s="378"/>
      <c r="O63" s="379"/>
      <c r="P63" s="379"/>
      <c r="Q63" s="177"/>
      <c r="R63" s="304"/>
      <c r="S63" s="125"/>
    </row>
    <row r="64" spans="1:22" s="173" customFormat="1" ht="18.600000000000001" customHeight="1" thickBot="1" x14ac:dyDescent="0.3">
      <c r="B64" s="277"/>
      <c r="C64" s="380"/>
      <c r="D64" s="381"/>
      <c r="E64" s="381"/>
      <c r="F64" s="381"/>
      <c r="G64" s="382"/>
      <c r="H64" s="382" t="s">
        <v>313</v>
      </c>
      <c r="I64" s="315">
        <f t="shared" ref="I64:P64" si="29">IF(I33=0,0,I62/I33)</f>
        <v>126.19051008434175</v>
      </c>
      <c r="J64" s="315">
        <f t="shared" si="29"/>
        <v>0</v>
      </c>
      <c r="K64" s="315">
        <f t="shared" si="29"/>
        <v>126.19051008434175</v>
      </c>
      <c r="L64" s="315">
        <f t="shared" si="29"/>
        <v>0</v>
      </c>
      <c r="M64" s="315">
        <f t="shared" si="29"/>
        <v>0</v>
      </c>
      <c r="N64" s="315">
        <f t="shared" si="29"/>
        <v>0</v>
      </c>
      <c r="O64" s="315">
        <f t="shared" si="29"/>
        <v>0</v>
      </c>
      <c r="P64" s="438">
        <f t="shared" si="29"/>
        <v>0</v>
      </c>
      <c r="Q64" s="439"/>
      <c r="R64" s="304"/>
      <c r="S64" s="125"/>
      <c r="U64" s="125"/>
      <c r="V64" s="125"/>
    </row>
    <row r="65" spans="2:24" ht="14.4" thickBot="1" x14ac:dyDescent="0.3">
      <c r="B65" s="383"/>
      <c r="C65" s="383"/>
      <c r="D65" s="383"/>
      <c r="E65" s="383"/>
      <c r="F65" s="125"/>
      <c r="G65" s="125"/>
      <c r="H65" s="125"/>
      <c r="I65" s="125"/>
      <c r="J65" s="125"/>
      <c r="K65" s="125"/>
      <c r="L65" s="125"/>
      <c r="M65" s="125"/>
      <c r="N65" s="125"/>
      <c r="O65" s="125"/>
      <c r="P65" s="125"/>
      <c r="Q65" s="384"/>
      <c r="R65" s="121"/>
      <c r="S65" s="125"/>
      <c r="T65" s="125"/>
      <c r="U65" s="121"/>
      <c r="V65" s="125"/>
      <c r="W65" s="125"/>
      <c r="X65" s="125"/>
    </row>
    <row r="66" spans="2:24" ht="24.6" customHeight="1" thickBot="1" x14ac:dyDescent="0.3">
      <c r="B66" s="492" t="s">
        <v>314</v>
      </c>
      <c r="C66" s="493"/>
      <c r="D66" s="493"/>
      <c r="E66" s="493"/>
      <c r="F66" s="493"/>
      <c r="G66" s="493"/>
      <c r="H66" s="493"/>
      <c r="I66" s="493"/>
      <c r="J66" s="493"/>
      <c r="K66" s="494"/>
      <c r="L66" s="178"/>
      <c r="M66" s="179"/>
      <c r="N66" s="179"/>
      <c r="O66" s="179"/>
      <c r="P66" s="180"/>
      <c r="Q66" s="121"/>
      <c r="R66" s="121"/>
      <c r="S66" s="125"/>
      <c r="T66" s="121"/>
      <c r="U66" s="125"/>
      <c r="V66" s="125"/>
      <c r="W66" s="125"/>
      <c r="X66" s="125"/>
    </row>
    <row r="67" spans="2:24" ht="7.5" customHeight="1" thickBot="1" x14ac:dyDescent="0.3">
      <c r="B67" s="385"/>
      <c r="C67" s="125"/>
      <c r="D67" s="125"/>
      <c r="E67" s="125"/>
      <c r="F67" s="125"/>
      <c r="G67" s="125"/>
      <c r="H67" s="163"/>
      <c r="I67" s="386"/>
      <c r="J67" s="386"/>
      <c r="K67" s="387"/>
      <c r="L67" s="388"/>
      <c r="M67" s="388"/>
      <c r="N67" s="388"/>
      <c r="O67" s="388"/>
      <c r="P67" s="388"/>
      <c r="Q67" s="123"/>
      <c r="R67" s="121"/>
      <c r="S67" s="125"/>
      <c r="T67" s="125"/>
      <c r="U67" s="121"/>
      <c r="V67" s="121"/>
      <c r="W67" s="125"/>
      <c r="X67" s="125"/>
    </row>
    <row r="68" spans="2:24" s="121" customFormat="1" ht="55.8" thickBot="1" x14ac:dyDescent="0.3">
      <c r="B68" s="338" t="s">
        <v>315</v>
      </c>
      <c r="C68" s="339" t="s">
        <v>316</v>
      </c>
      <c r="D68" s="340"/>
      <c r="E68" s="340"/>
      <c r="F68" s="340"/>
      <c r="G68" s="340"/>
      <c r="H68" s="389"/>
      <c r="I68" s="390" t="s">
        <v>238</v>
      </c>
      <c r="J68" s="187" t="s">
        <v>239</v>
      </c>
      <c r="K68" s="188" t="s">
        <v>291</v>
      </c>
      <c r="L68" s="341" t="s">
        <v>241</v>
      </c>
      <c r="M68" s="186" t="s">
        <v>242</v>
      </c>
      <c r="N68" s="186" t="s">
        <v>243</v>
      </c>
      <c r="O68" s="391" t="s">
        <v>244</v>
      </c>
      <c r="P68" s="392" t="s">
        <v>145</v>
      </c>
      <c r="Q68" s="342"/>
      <c r="R68" s="194"/>
      <c r="U68" s="125"/>
      <c r="V68" s="125"/>
    </row>
    <row r="69" spans="2:24" ht="24" customHeight="1" x14ac:dyDescent="0.25">
      <c r="B69" s="293" t="s">
        <v>317</v>
      </c>
      <c r="C69" s="345" t="s">
        <v>318</v>
      </c>
      <c r="D69" s="393"/>
      <c r="E69" s="393"/>
      <c r="F69" s="393"/>
      <c r="G69" s="393"/>
      <c r="H69" s="394"/>
      <c r="I69" s="395">
        <f>J69+K69</f>
        <v>62902</v>
      </c>
      <c r="J69" s="395">
        <f>'Recettes et simulat'!G16</f>
        <v>3402</v>
      </c>
      <c r="K69" s="396">
        <f>'Recettes et simulat'!J28</f>
        <v>59500</v>
      </c>
      <c r="L69" s="299"/>
      <c r="M69" s="300"/>
      <c r="N69" s="397"/>
      <c r="O69" s="397"/>
      <c r="P69" s="302">
        <f>SUM(L69:O69)</f>
        <v>0</v>
      </c>
      <c r="Q69" s="121"/>
      <c r="R69" s="121"/>
      <c r="S69" s="125"/>
      <c r="T69" s="125"/>
      <c r="U69" s="125"/>
      <c r="V69" s="125"/>
      <c r="W69" s="125"/>
      <c r="X69" s="121"/>
    </row>
    <row r="70" spans="2:24" ht="27" customHeight="1" thickBot="1" x14ac:dyDescent="0.3">
      <c r="B70" s="310" t="s">
        <v>319</v>
      </c>
      <c r="C70" s="311" t="s">
        <v>320</v>
      </c>
      <c r="D70" s="398"/>
      <c r="E70" s="398"/>
      <c r="F70" s="398"/>
      <c r="G70" s="398"/>
      <c r="H70" s="399"/>
      <c r="I70" s="400">
        <f>J70+K70</f>
        <v>0</v>
      </c>
      <c r="J70" s="401"/>
      <c r="K70" s="402">
        <f>'Recettes et simulat'!F39</f>
        <v>0</v>
      </c>
      <c r="L70" s="317"/>
      <c r="M70" s="318"/>
      <c r="N70" s="318"/>
      <c r="O70" s="403"/>
      <c r="P70" s="320">
        <f>SUM(L70:O70)</f>
        <v>0</v>
      </c>
      <c r="Q70" s="121"/>
      <c r="R70" s="121"/>
      <c r="S70" s="125"/>
      <c r="T70" s="125"/>
      <c r="U70" s="125"/>
      <c r="V70" s="125"/>
      <c r="W70" s="125"/>
      <c r="X70" s="121"/>
    </row>
    <row r="71" spans="2:24" ht="11.4" customHeight="1" thickBot="1" x14ac:dyDescent="0.3">
      <c r="B71" s="404"/>
      <c r="C71" s="405"/>
      <c r="D71" s="406"/>
      <c r="E71" s="405"/>
      <c r="F71" s="406"/>
      <c r="G71" s="406"/>
      <c r="H71" s="406"/>
      <c r="I71" s="407"/>
      <c r="J71" s="407"/>
      <c r="K71" s="408"/>
      <c r="L71" s="407"/>
      <c r="M71" s="407"/>
      <c r="N71" s="407"/>
      <c r="O71" s="407"/>
      <c r="P71" s="407"/>
      <c r="Q71" s="409"/>
      <c r="R71" s="410"/>
      <c r="S71" s="411"/>
      <c r="T71" s="125"/>
      <c r="U71" s="125"/>
      <c r="V71" s="125"/>
      <c r="W71" s="125"/>
      <c r="X71" s="121"/>
    </row>
    <row r="72" spans="2:24" s="125" customFormat="1" ht="24.6" customHeight="1" thickBot="1" x14ac:dyDescent="0.3">
      <c r="B72" s="366" t="s">
        <v>321</v>
      </c>
      <c r="C72" s="366"/>
      <c r="D72" s="367"/>
      <c r="E72" s="368"/>
      <c r="F72" s="367"/>
      <c r="G72" s="369"/>
      <c r="H72" s="370"/>
      <c r="I72" s="371">
        <f>I69+I70</f>
        <v>62902</v>
      </c>
      <c r="J72" s="371">
        <f>J69+J70</f>
        <v>3402</v>
      </c>
      <c r="K72" s="372">
        <f>K69+K70</f>
        <v>59500</v>
      </c>
      <c r="L72" s="371">
        <f t="shared" ref="L72:O72" si="30">L69+L70</f>
        <v>0</v>
      </c>
      <c r="M72" s="371">
        <f t="shared" si="30"/>
        <v>0</v>
      </c>
      <c r="N72" s="371">
        <f t="shared" si="30"/>
        <v>0</v>
      </c>
      <c r="O72" s="371">
        <f t="shared" si="30"/>
        <v>0</v>
      </c>
      <c r="P72" s="372">
        <f>P69+P70</f>
        <v>0</v>
      </c>
      <c r="U72" s="173"/>
      <c r="V72" s="173"/>
      <c r="X72" s="121"/>
    </row>
    <row r="73" spans="2:24" s="173" customFormat="1" ht="18" customHeight="1" thickBot="1" x14ac:dyDescent="0.3">
      <c r="B73" s="331"/>
      <c r="C73" s="359"/>
      <c r="D73" s="412"/>
      <c r="E73" s="412"/>
      <c r="F73" s="412"/>
      <c r="G73" s="413"/>
      <c r="H73" s="413" t="s">
        <v>322</v>
      </c>
      <c r="I73" s="414"/>
      <c r="J73" s="414"/>
      <c r="K73" s="415">
        <f>IF(E8=0,0,K72/$E$8)</f>
        <v>4250</v>
      </c>
      <c r="L73" s="378"/>
      <c r="M73" s="378"/>
      <c r="N73" s="378"/>
      <c r="O73" s="379"/>
      <c r="P73" s="379"/>
      <c r="Q73" s="177"/>
      <c r="R73" s="304"/>
      <c r="S73" s="125"/>
    </row>
    <row r="74" spans="2:24" s="125" customFormat="1" ht="14.4" thickBot="1" x14ac:dyDescent="0.3">
      <c r="C74" s="383"/>
      <c r="D74" s="383"/>
      <c r="E74" s="383"/>
      <c r="F74" s="383"/>
      <c r="G74" s="383"/>
      <c r="H74" s="383"/>
      <c r="I74" s="416"/>
      <c r="J74" s="416"/>
      <c r="K74" s="416"/>
      <c r="L74" s="416"/>
      <c r="M74" s="416"/>
      <c r="N74" s="416"/>
      <c r="O74" s="416"/>
      <c r="P74" s="416"/>
      <c r="Q74" s="122"/>
      <c r="R74" s="121"/>
    </row>
    <row r="75" spans="2:24" s="125" customFormat="1" ht="24.6" customHeight="1" thickBot="1" x14ac:dyDescent="0.3">
      <c r="B75" s="366" t="s">
        <v>323</v>
      </c>
      <c r="C75" s="366"/>
      <c r="D75" s="367"/>
      <c r="E75" s="368"/>
      <c r="F75" s="367"/>
      <c r="G75" s="369"/>
      <c r="H75" s="370"/>
      <c r="I75" s="371">
        <f t="shared" ref="I75:P75" si="31">I72-I62</f>
        <v>28830.562277227727</v>
      </c>
      <c r="J75" s="371">
        <f t="shared" si="31"/>
        <v>3402</v>
      </c>
      <c r="K75" s="372">
        <f t="shared" si="31"/>
        <v>25428.562277227727</v>
      </c>
      <c r="L75" s="371">
        <f t="shared" si="31"/>
        <v>0</v>
      </c>
      <c r="M75" s="371">
        <f t="shared" si="31"/>
        <v>0</v>
      </c>
      <c r="N75" s="371">
        <f t="shared" si="31"/>
        <v>0</v>
      </c>
      <c r="O75" s="371">
        <f t="shared" si="31"/>
        <v>0</v>
      </c>
      <c r="P75" s="372">
        <f t="shared" si="31"/>
        <v>0</v>
      </c>
      <c r="Q75" s="204">
        <f>IF($K$72=0,0,K75/$K$72)</f>
        <v>0.4273707945752559</v>
      </c>
      <c r="R75" s="205" t="s">
        <v>246</v>
      </c>
      <c r="U75" s="173"/>
      <c r="V75" s="173"/>
      <c r="X75" s="121"/>
    </row>
    <row r="76" spans="2:24" ht="13.8" x14ac:dyDescent="0.25">
      <c r="B76" s="125"/>
      <c r="C76" s="125"/>
      <c r="D76" s="125"/>
      <c r="E76" s="125"/>
      <c r="F76" s="125"/>
      <c r="G76" s="125"/>
      <c r="H76" s="163"/>
      <c r="I76" s="164"/>
      <c r="J76" s="165"/>
      <c r="K76" s="163"/>
      <c r="L76" s="163"/>
      <c r="M76" s="163"/>
      <c r="N76" s="163"/>
      <c r="O76" s="163"/>
      <c r="P76" s="163"/>
      <c r="Q76" s="121"/>
      <c r="R76" s="121"/>
      <c r="S76" s="125"/>
      <c r="T76" s="125"/>
      <c r="U76" s="125"/>
      <c r="V76" s="125"/>
      <c r="W76" s="125"/>
      <c r="X76" s="125"/>
    </row>
  </sheetData>
  <sheetProtection algorithmName="SHA-512" hashValue="QTUB2BFRw8w1uPSiB0swY4s5Vm7x2gQKCd7IYx6FkpilTdmNun7sL8ZA6sHwhJ+GrYBIXKLIhLJsLe09apyoqw==" saltValue="uC/oVlt2qinRgTDXjcpg5g==" spinCount="100000" sheet="1" autoFilter="0"/>
  <mergeCells count="23">
    <mergeCell ref="B27:F27"/>
    <mergeCell ref="C29:F29"/>
    <mergeCell ref="C30:F30"/>
    <mergeCell ref="B32:F32"/>
    <mergeCell ref="B66:K66"/>
    <mergeCell ref="C26:F26"/>
    <mergeCell ref="H7:K7"/>
    <mergeCell ref="B11:K11"/>
    <mergeCell ref="C13:F13"/>
    <mergeCell ref="C16:F16"/>
    <mergeCell ref="C17:F17"/>
    <mergeCell ref="C18:F18"/>
    <mergeCell ref="C19:F19"/>
    <mergeCell ref="B20:F20"/>
    <mergeCell ref="C23:F23"/>
    <mergeCell ref="C24:F24"/>
    <mergeCell ref="C25:F25"/>
    <mergeCell ref="B2:K2"/>
    <mergeCell ref="L2:P2"/>
    <mergeCell ref="D5:E5"/>
    <mergeCell ref="H5:K5"/>
    <mergeCell ref="D6:E6"/>
    <mergeCell ref="H6:K6"/>
  </mergeCells>
  <printOptions horizontalCentered="1" verticalCentered="1"/>
  <pageMargins left="0.25" right="0.25" top="0.75" bottom="0.75" header="0.3" footer="0.3"/>
  <pageSetup paperSize="8" scale="56"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8CA1FD0CB9584A8A9C320169AE32EA" ma:contentTypeVersion="4" ma:contentTypeDescription="Crée un document." ma:contentTypeScope="" ma:versionID="02af6109a010d98ac1f721433b5defec">
  <xsd:schema xmlns:xsd="http://www.w3.org/2001/XMLSchema" xmlns:xs="http://www.w3.org/2001/XMLSchema" xmlns:p="http://schemas.microsoft.com/office/2006/metadata/properties" xmlns:ns2="c9aeb6e5-197f-474c-84d2-6b90aa585576" targetNamespace="http://schemas.microsoft.com/office/2006/metadata/properties" ma:root="true" ma:fieldsID="f3c8edf611e996a8825c0a62ce4a38a8" ns2:_="">
    <xsd:import namespace="c9aeb6e5-197f-474c-84d2-6b90aa5855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aeb6e5-197f-474c-84d2-6b90aa585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910B77-D12D-411E-A6EF-160094C6474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AF5950C-C9B8-4B9B-8EEE-58CDA23FED66}">
  <ds:schemaRefs>
    <ds:schemaRef ds:uri="http://schemas.microsoft.com/sharepoint/v3/contenttype/forms"/>
  </ds:schemaRefs>
</ds:datastoreItem>
</file>

<file path=customXml/itemProps3.xml><?xml version="1.0" encoding="utf-8"?>
<ds:datastoreItem xmlns:ds="http://schemas.openxmlformats.org/officeDocument/2006/customXml" ds:itemID="{948F8922-7D24-47E1-AFD1-1AEFA3211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aeb6e5-197f-474c-84d2-6b90aa5855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Référentiel accompagnement</vt:lpstr>
      <vt:lpstr>Mode opératoire</vt:lpstr>
      <vt:lpstr>Enseignements</vt:lpstr>
      <vt:lpstr>Recettes et simulat</vt:lpstr>
      <vt:lpstr>Paramétrage</vt:lpstr>
      <vt:lpstr>Budget détaillé</vt:lpstr>
      <vt:lpstr>Budget détaillé heures comp</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2022-03-28T09:19:03Z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0x0101007D8CA1FD0CB9584A8A9C320169AE32EA</vt:lpwstr>
  </property>
</Properties>
</file>